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05" windowWidth="15600" windowHeight="11760" tabRatio="765" firstSheet="3" activeTab="9"/>
  </bookViews>
  <sheets>
    <sheet name="Game Aid" sheetId="15" r:id="rId1"/>
    <sheet name="TL0-5 Elements" sheetId="9" state="veryHidden" r:id="rId2"/>
    <sheet name="TL6-12 Elements" sheetId="4" state="veryHidden" r:id="rId3"/>
    <sheet name="Army 1 TL0-5" sheetId="10" r:id="rId4"/>
    <sheet name="Army 2 TL0-5" sheetId="11" r:id="rId5"/>
    <sheet name="TL0-5 Battle" sheetId="12" r:id="rId6"/>
    <sheet name="Equipment &amp; Troop Q" sheetId="5" state="veryHidden" r:id="rId7"/>
    <sheet name="Army 1 TL6-12" sheetId="7" r:id="rId8"/>
    <sheet name="Army 2 TL6-12" sheetId="6" r:id="rId9"/>
    <sheet name="TL6-12 Battle" sheetId="8" r:id="rId10"/>
    <sheet name="TL6-12 Tables" sheetId="13" state="veryHidden" r:id="rId11"/>
    <sheet name="TL0-5 Tables" sheetId="14" state="veryHidden" r:id="rId12"/>
  </sheets>
  <calcPr calcId="145621"/>
</workbook>
</file>

<file path=xl/calcChain.xml><?xml version="1.0" encoding="utf-8"?>
<calcChain xmlns="http://schemas.openxmlformats.org/spreadsheetml/2006/main">
  <c r="B36" i="11" l="1"/>
  <c r="D31" i="11"/>
  <c r="D30" i="11"/>
  <c r="D29" i="11"/>
  <c r="D28" i="11"/>
  <c r="D27" i="11"/>
  <c r="D26" i="11"/>
  <c r="D25" i="11"/>
  <c r="D24" i="11"/>
  <c r="D23" i="11"/>
  <c r="D22" i="11"/>
  <c r="D21" i="11"/>
  <c r="D20" i="11"/>
  <c r="D19" i="11"/>
  <c r="D18" i="11"/>
  <c r="D17" i="11"/>
  <c r="D16" i="11"/>
  <c r="D15" i="11"/>
  <c r="D14" i="11"/>
  <c r="D13" i="11"/>
  <c r="D12" i="11"/>
  <c r="D11" i="11"/>
  <c r="D10" i="11"/>
  <c r="D9" i="11"/>
  <c r="D8" i="11"/>
  <c r="D7" i="11"/>
  <c r="D6" i="11"/>
  <c r="D5" i="11"/>
  <c r="D4" i="11"/>
  <c r="D3" i="11"/>
  <c r="B36" i="10"/>
  <c r="D31" i="10"/>
  <c r="D30" i="10"/>
  <c r="D29" i="10"/>
  <c r="D28" i="10"/>
  <c r="D27" i="10"/>
  <c r="D26" i="10"/>
  <c r="D25" i="10"/>
  <c r="D24" i="10"/>
  <c r="D23" i="10"/>
  <c r="D22" i="10"/>
  <c r="D21" i="10"/>
  <c r="D20" i="10"/>
  <c r="D19" i="10"/>
  <c r="D18" i="10"/>
  <c r="D17" i="10"/>
  <c r="D16" i="10"/>
  <c r="D15" i="10"/>
  <c r="D14" i="10"/>
  <c r="D13" i="10"/>
  <c r="D12" i="10"/>
  <c r="D11" i="10"/>
  <c r="D10" i="10"/>
  <c r="D9" i="10"/>
  <c r="D8" i="10"/>
  <c r="D7" i="10"/>
  <c r="D6" i="10"/>
  <c r="D5" i="10"/>
  <c r="D4" i="10"/>
  <c r="D3" i="10"/>
  <c r="P4" i="7"/>
  <c r="Q4" i="7"/>
  <c r="R4" i="7"/>
  <c r="P5" i="7"/>
  <c r="Q5" i="7"/>
  <c r="R5" i="7"/>
  <c r="P6" i="7"/>
  <c r="Q6" i="7"/>
  <c r="R6" i="7"/>
  <c r="P7" i="7"/>
  <c r="Q7" i="7"/>
  <c r="R7" i="7"/>
  <c r="P8" i="7"/>
  <c r="Q8" i="7"/>
  <c r="R8" i="7"/>
  <c r="P9" i="7"/>
  <c r="Q9" i="7"/>
  <c r="R9" i="7"/>
  <c r="H31" i="6" l="1"/>
  <c r="G31" i="6"/>
  <c r="F31" i="6"/>
  <c r="D31" i="6"/>
  <c r="E31" i="6" s="1"/>
  <c r="H30" i="6"/>
  <c r="G30" i="6"/>
  <c r="F30" i="6"/>
  <c r="D30" i="6"/>
  <c r="E30" i="6" s="1"/>
  <c r="H29" i="6"/>
  <c r="G29" i="6"/>
  <c r="F29" i="6"/>
  <c r="D29" i="6"/>
  <c r="E29" i="6" s="1"/>
  <c r="H28" i="6"/>
  <c r="G28" i="6"/>
  <c r="F28" i="6"/>
  <c r="D28" i="6"/>
  <c r="E28" i="6" s="1"/>
  <c r="H27" i="6"/>
  <c r="G27" i="6"/>
  <c r="F27" i="6"/>
  <c r="D27" i="6"/>
  <c r="E27" i="6" s="1"/>
  <c r="H26" i="6"/>
  <c r="G26" i="6"/>
  <c r="F26" i="6"/>
  <c r="D26" i="6"/>
  <c r="E26" i="6" s="1"/>
  <c r="H25" i="6"/>
  <c r="G25" i="6"/>
  <c r="F25" i="6"/>
  <c r="D25" i="6"/>
  <c r="E25" i="6" s="1"/>
  <c r="H24" i="6"/>
  <c r="G24" i="6"/>
  <c r="F24" i="6"/>
  <c r="D24" i="6"/>
  <c r="E24" i="6" s="1"/>
  <c r="H23" i="6"/>
  <c r="G23" i="6"/>
  <c r="F23" i="6"/>
  <c r="D23" i="6"/>
  <c r="E23" i="6" s="1"/>
  <c r="H22" i="6"/>
  <c r="G22" i="6"/>
  <c r="F22" i="6"/>
  <c r="D22" i="6"/>
  <c r="E22" i="6" s="1"/>
  <c r="H21" i="6"/>
  <c r="G21" i="6"/>
  <c r="F21" i="6"/>
  <c r="D21" i="6"/>
  <c r="E21" i="6" s="1"/>
  <c r="H20" i="6"/>
  <c r="G20" i="6"/>
  <c r="F20" i="6"/>
  <c r="D20" i="6"/>
  <c r="E20" i="6" s="1"/>
  <c r="H19" i="6"/>
  <c r="G19" i="6"/>
  <c r="F19" i="6"/>
  <c r="D19" i="6"/>
  <c r="E19" i="6" s="1"/>
  <c r="H18" i="6"/>
  <c r="G18" i="6"/>
  <c r="F18" i="6"/>
  <c r="D18" i="6"/>
  <c r="E18" i="6" s="1"/>
  <c r="H17" i="6"/>
  <c r="G17" i="6"/>
  <c r="F17" i="6"/>
  <c r="D17" i="6"/>
  <c r="E17" i="6" s="1"/>
  <c r="H16" i="6"/>
  <c r="G16" i="6"/>
  <c r="F16" i="6"/>
  <c r="D16" i="6"/>
  <c r="E16" i="6" s="1"/>
  <c r="H15" i="6"/>
  <c r="G15" i="6"/>
  <c r="F15" i="6"/>
  <c r="D15" i="6"/>
  <c r="H14" i="6"/>
  <c r="G14" i="6"/>
  <c r="F14" i="6"/>
  <c r="D14" i="6"/>
  <c r="E14" i="6" s="1"/>
  <c r="H13" i="6"/>
  <c r="G13" i="6"/>
  <c r="F13" i="6"/>
  <c r="D13" i="6"/>
  <c r="H12" i="6"/>
  <c r="G12" i="6"/>
  <c r="F12" i="6"/>
  <c r="D12" i="6"/>
  <c r="E12" i="6" s="1"/>
  <c r="H11" i="6"/>
  <c r="G11" i="6"/>
  <c r="F11" i="6"/>
  <c r="D11" i="6"/>
  <c r="E11" i="6" s="1"/>
  <c r="H10" i="6"/>
  <c r="G10" i="6"/>
  <c r="F10" i="6"/>
  <c r="D10" i="6"/>
  <c r="E10" i="6" s="1"/>
  <c r="H9" i="6"/>
  <c r="G9" i="6"/>
  <c r="F9" i="6"/>
  <c r="D9" i="6"/>
  <c r="E9" i="6" s="1"/>
  <c r="H8" i="6"/>
  <c r="G8" i="6"/>
  <c r="F8" i="6"/>
  <c r="D8" i="6"/>
  <c r="E8" i="6" s="1"/>
  <c r="H7" i="6"/>
  <c r="G7" i="6"/>
  <c r="F7" i="6"/>
  <c r="D7" i="6"/>
  <c r="E7" i="6" s="1"/>
  <c r="H6" i="6"/>
  <c r="G6" i="6"/>
  <c r="F6" i="6"/>
  <c r="D6" i="6"/>
  <c r="E6" i="6" s="1"/>
  <c r="H5" i="6"/>
  <c r="G5" i="6"/>
  <c r="F5" i="6"/>
  <c r="D5" i="6"/>
  <c r="E5" i="6" s="1"/>
  <c r="H4" i="6"/>
  <c r="G4" i="6"/>
  <c r="F4" i="6"/>
  <c r="D4" i="6"/>
  <c r="E4" i="6" s="1"/>
  <c r="H3" i="6"/>
  <c r="G3" i="6"/>
  <c r="F3" i="6"/>
  <c r="D3" i="6"/>
  <c r="J31" i="11"/>
  <c r="G31" i="11"/>
  <c r="F31" i="11"/>
  <c r="E31" i="11"/>
  <c r="C31" i="11"/>
  <c r="J30" i="11"/>
  <c r="G30" i="11"/>
  <c r="F30" i="11"/>
  <c r="E30" i="11"/>
  <c r="C30" i="11"/>
  <c r="J29" i="11"/>
  <c r="G29" i="11"/>
  <c r="F29" i="11"/>
  <c r="E29" i="11"/>
  <c r="C29" i="11"/>
  <c r="J28" i="11"/>
  <c r="G28" i="11"/>
  <c r="F28" i="11"/>
  <c r="E28" i="11"/>
  <c r="C28" i="11"/>
  <c r="J27" i="11"/>
  <c r="G27" i="11"/>
  <c r="F27" i="11"/>
  <c r="E27" i="11"/>
  <c r="C27" i="11"/>
  <c r="J26" i="11"/>
  <c r="G26" i="11"/>
  <c r="F26" i="11"/>
  <c r="E26" i="11"/>
  <c r="C26" i="11"/>
  <c r="J25" i="11"/>
  <c r="G25" i="11"/>
  <c r="F25" i="11"/>
  <c r="E25" i="11"/>
  <c r="C25" i="11"/>
  <c r="J24" i="11"/>
  <c r="G24" i="11"/>
  <c r="F24" i="11"/>
  <c r="E24" i="11"/>
  <c r="C24" i="11"/>
  <c r="J23" i="11"/>
  <c r="G23" i="11"/>
  <c r="F23" i="11"/>
  <c r="E23" i="11"/>
  <c r="C23" i="11"/>
  <c r="J22" i="11"/>
  <c r="G22" i="11"/>
  <c r="F22" i="11"/>
  <c r="E22" i="11"/>
  <c r="C22" i="11"/>
  <c r="J21" i="11"/>
  <c r="G21" i="11"/>
  <c r="F21" i="11"/>
  <c r="E21" i="11"/>
  <c r="C21" i="11"/>
  <c r="J20" i="11"/>
  <c r="G20" i="11"/>
  <c r="F20" i="11"/>
  <c r="E20" i="11"/>
  <c r="C20" i="11"/>
  <c r="J19" i="11"/>
  <c r="G19" i="11"/>
  <c r="F19" i="11"/>
  <c r="E19" i="11"/>
  <c r="C19" i="11"/>
  <c r="J18" i="11"/>
  <c r="G18" i="11"/>
  <c r="F18" i="11"/>
  <c r="E18" i="11"/>
  <c r="C18" i="11"/>
  <c r="J17" i="11"/>
  <c r="G17" i="11"/>
  <c r="F17" i="11"/>
  <c r="E17" i="11"/>
  <c r="C17" i="11"/>
  <c r="J16" i="11"/>
  <c r="G16" i="11"/>
  <c r="F16" i="11"/>
  <c r="E16" i="11"/>
  <c r="C16" i="11"/>
  <c r="J15" i="11"/>
  <c r="G15" i="11"/>
  <c r="F15" i="11"/>
  <c r="E15" i="11"/>
  <c r="C15" i="11"/>
  <c r="J14" i="11"/>
  <c r="G14" i="11"/>
  <c r="F14" i="11"/>
  <c r="E14" i="11"/>
  <c r="C14" i="11"/>
  <c r="J13" i="11"/>
  <c r="G13" i="11"/>
  <c r="F13" i="11"/>
  <c r="E13" i="11"/>
  <c r="C13" i="11"/>
  <c r="J12" i="11"/>
  <c r="G12" i="11"/>
  <c r="F12" i="11"/>
  <c r="E12" i="11"/>
  <c r="C12" i="11"/>
  <c r="J11" i="11"/>
  <c r="G11" i="11"/>
  <c r="F11" i="11"/>
  <c r="E11" i="11"/>
  <c r="C11" i="11"/>
  <c r="J10" i="11"/>
  <c r="G10" i="11"/>
  <c r="F10" i="11"/>
  <c r="E10" i="11"/>
  <c r="C10" i="11"/>
  <c r="J9" i="11"/>
  <c r="G9" i="11"/>
  <c r="F9" i="11"/>
  <c r="E9" i="11"/>
  <c r="C9" i="11"/>
  <c r="J8" i="11"/>
  <c r="G8" i="11"/>
  <c r="F8" i="11"/>
  <c r="E8" i="11"/>
  <c r="C8" i="11"/>
  <c r="J7" i="11"/>
  <c r="G7" i="11"/>
  <c r="F7" i="11"/>
  <c r="E7" i="11"/>
  <c r="C7" i="11"/>
  <c r="J6" i="11"/>
  <c r="G6" i="11"/>
  <c r="F6" i="11"/>
  <c r="E6" i="11"/>
  <c r="C6" i="11"/>
  <c r="J5" i="11"/>
  <c r="G5" i="11"/>
  <c r="F5" i="11"/>
  <c r="E5" i="11"/>
  <c r="C5" i="11"/>
  <c r="J4" i="11"/>
  <c r="G4" i="11"/>
  <c r="F4" i="11"/>
  <c r="E4" i="11"/>
  <c r="C4" i="11"/>
  <c r="J3" i="11"/>
  <c r="G3" i="11"/>
  <c r="F3" i="11"/>
  <c r="E3" i="11"/>
  <c r="C3" i="11"/>
  <c r="E13" i="6" l="1"/>
  <c r="E3" i="6"/>
  <c r="U23" i="12"/>
  <c r="U5" i="12"/>
  <c r="U23" i="8"/>
  <c r="U5" i="8"/>
  <c r="W3" i="10"/>
  <c r="X3" i="10"/>
  <c r="Y3" i="10"/>
  <c r="AA3" i="10"/>
  <c r="AB3" i="10"/>
  <c r="AC3" i="10"/>
  <c r="AE3" i="10"/>
  <c r="AF3" i="10"/>
  <c r="AG3" i="10"/>
  <c r="U31" i="6"/>
  <c r="U30" i="6"/>
  <c r="U29" i="6"/>
  <c r="U28" i="6"/>
  <c r="U27" i="6"/>
  <c r="U26" i="6"/>
  <c r="U25" i="6"/>
  <c r="U24" i="6"/>
  <c r="U23" i="6"/>
  <c r="U22" i="6"/>
  <c r="U21" i="6"/>
  <c r="U20" i="6"/>
  <c r="U19" i="6"/>
  <c r="U18" i="6"/>
  <c r="U17" i="6"/>
  <c r="U16" i="6"/>
  <c r="U15" i="6"/>
  <c r="U14" i="6"/>
  <c r="U13" i="6"/>
  <c r="U12" i="6"/>
  <c r="U11" i="6"/>
  <c r="U10" i="6"/>
  <c r="U9" i="6"/>
  <c r="U8" i="6"/>
  <c r="U7" i="6"/>
  <c r="U6" i="6"/>
  <c r="U5" i="6"/>
  <c r="U4" i="6"/>
  <c r="U3" i="6"/>
  <c r="U31" i="7"/>
  <c r="U30" i="7"/>
  <c r="U29" i="7"/>
  <c r="U28" i="7"/>
  <c r="U27" i="7"/>
  <c r="U26" i="7"/>
  <c r="U25" i="7"/>
  <c r="U24" i="7"/>
  <c r="U23" i="7"/>
  <c r="U22" i="7"/>
  <c r="U21" i="7"/>
  <c r="U20" i="7"/>
  <c r="U19" i="7"/>
  <c r="U18" i="7"/>
  <c r="U17" i="7"/>
  <c r="U16" i="7"/>
  <c r="U15" i="7"/>
  <c r="U14" i="7"/>
  <c r="U13" i="7"/>
  <c r="U12" i="7"/>
  <c r="U11" i="7"/>
  <c r="U10" i="7"/>
  <c r="U9" i="7"/>
  <c r="U8" i="7"/>
  <c r="U7" i="7"/>
  <c r="U6" i="7"/>
  <c r="U5" i="7"/>
  <c r="U4" i="7"/>
  <c r="U3" i="7"/>
  <c r="T31" i="11"/>
  <c r="T30" i="11"/>
  <c r="T29" i="11"/>
  <c r="T28" i="11"/>
  <c r="T27" i="11"/>
  <c r="T26" i="11"/>
  <c r="T25" i="11"/>
  <c r="T24" i="11"/>
  <c r="T23" i="11"/>
  <c r="T22" i="11"/>
  <c r="T21" i="11"/>
  <c r="T20" i="11"/>
  <c r="T19" i="11"/>
  <c r="T18" i="11"/>
  <c r="T17" i="11"/>
  <c r="T16" i="11"/>
  <c r="T15" i="11"/>
  <c r="T14" i="11"/>
  <c r="T13" i="11"/>
  <c r="T12" i="11"/>
  <c r="T11" i="11"/>
  <c r="T10" i="11"/>
  <c r="T9" i="11"/>
  <c r="T8" i="11"/>
  <c r="T7" i="11"/>
  <c r="T6" i="11"/>
  <c r="T5" i="11"/>
  <c r="T4" i="11"/>
  <c r="T3" i="11"/>
  <c r="S4" i="10"/>
  <c r="S5" i="10"/>
  <c r="S6" i="10"/>
  <c r="S7" i="10"/>
  <c r="S8" i="10"/>
  <c r="S9" i="10"/>
  <c r="S10" i="10"/>
  <c r="S11" i="10"/>
  <c r="S12" i="10"/>
  <c r="S13" i="10"/>
  <c r="S14" i="10"/>
  <c r="S15" i="10"/>
  <c r="S16" i="10"/>
  <c r="S17" i="10"/>
  <c r="S18" i="10"/>
  <c r="S19" i="10"/>
  <c r="S20" i="10"/>
  <c r="S21" i="10"/>
  <c r="S22" i="10"/>
  <c r="S23" i="10"/>
  <c r="S24" i="10"/>
  <c r="S25" i="10"/>
  <c r="S26" i="10"/>
  <c r="S27" i="10"/>
  <c r="S28" i="10"/>
  <c r="S29" i="10"/>
  <c r="S30" i="10"/>
  <c r="S31" i="10"/>
  <c r="S3" i="10"/>
  <c r="T4" i="10"/>
  <c r="T5" i="10"/>
  <c r="T6" i="10"/>
  <c r="T7" i="10"/>
  <c r="T8" i="10"/>
  <c r="T9" i="10"/>
  <c r="T10" i="10"/>
  <c r="T11" i="10"/>
  <c r="T12" i="10"/>
  <c r="T13" i="10"/>
  <c r="T14" i="10"/>
  <c r="T15" i="10"/>
  <c r="T16" i="10"/>
  <c r="T17" i="10"/>
  <c r="T18" i="10"/>
  <c r="T19" i="10"/>
  <c r="T20" i="10"/>
  <c r="T21" i="10"/>
  <c r="T22" i="10"/>
  <c r="T23" i="10"/>
  <c r="T24" i="10"/>
  <c r="T25" i="10"/>
  <c r="T26" i="10"/>
  <c r="T27" i="10"/>
  <c r="T28" i="10"/>
  <c r="T29" i="10"/>
  <c r="T30" i="10"/>
  <c r="T31" i="10"/>
  <c r="T3" i="10"/>
  <c r="U3" i="10"/>
  <c r="U4" i="10"/>
  <c r="U5" i="10"/>
  <c r="U6" i="10"/>
  <c r="U7" i="10"/>
  <c r="U8" i="10"/>
  <c r="U9" i="10"/>
  <c r="U10" i="10"/>
  <c r="U11" i="10"/>
  <c r="U12" i="10"/>
  <c r="U13" i="10"/>
  <c r="U14" i="10"/>
  <c r="U15" i="10"/>
  <c r="U16" i="10"/>
  <c r="U17" i="10"/>
  <c r="U18" i="10"/>
  <c r="U19" i="10"/>
  <c r="U20" i="10"/>
  <c r="U21" i="10"/>
  <c r="U22" i="10"/>
  <c r="U23" i="10"/>
  <c r="U24" i="10"/>
  <c r="U25" i="10"/>
  <c r="U26" i="10"/>
  <c r="U27" i="10"/>
  <c r="U28" i="10"/>
  <c r="U29" i="10"/>
  <c r="U30" i="10"/>
  <c r="U31" i="10"/>
  <c r="R3" i="6" l="1"/>
  <c r="V3" i="6"/>
  <c r="Z3" i="6"/>
  <c r="AD3" i="6"/>
  <c r="AH3" i="6"/>
  <c r="AL3" i="6"/>
  <c r="R4" i="6"/>
  <c r="V4" i="6"/>
  <c r="Z4" i="6"/>
  <c r="AD4" i="6"/>
  <c r="AH4" i="6"/>
  <c r="AL4" i="6"/>
  <c r="R5" i="6"/>
  <c r="V5" i="6"/>
  <c r="Z5" i="6"/>
  <c r="AD5" i="6"/>
  <c r="AH5" i="6"/>
  <c r="AL5" i="6"/>
  <c r="R6" i="6"/>
  <c r="V6" i="6"/>
  <c r="Z6" i="6"/>
  <c r="AD6" i="6"/>
  <c r="AH6" i="6"/>
  <c r="AL6" i="6"/>
  <c r="R7" i="6"/>
  <c r="V7" i="6"/>
  <c r="Z7" i="6"/>
  <c r="AD7" i="6"/>
  <c r="AH7" i="6"/>
  <c r="AL7" i="6"/>
  <c r="R8" i="6"/>
  <c r="V8" i="6"/>
  <c r="Z8" i="6"/>
  <c r="AD8" i="6"/>
  <c r="AH8" i="6"/>
  <c r="AL8" i="6"/>
  <c r="R9" i="6"/>
  <c r="V9" i="6"/>
  <c r="Z9" i="6"/>
  <c r="AD9" i="6"/>
  <c r="AH9" i="6"/>
  <c r="AL9" i="6"/>
  <c r="R10" i="6"/>
  <c r="V10" i="6"/>
  <c r="Z10" i="6"/>
  <c r="AD10" i="6"/>
  <c r="AH10" i="6"/>
  <c r="AL10" i="6"/>
  <c r="R11" i="6"/>
  <c r="V11" i="6"/>
  <c r="Z11" i="6"/>
  <c r="AD11" i="6"/>
  <c r="AH11" i="6"/>
  <c r="AL11" i="6"/>
  <c r="R12" i="6"/>
  <c r="V12" i="6"/>
  <c r="Z12" i="6"/>
  <c r="AD12" i="6"/>
  <c r="AH12" i="6"/>
  <c r="AL12" i="6"/>
  <c r="R13" i="6"/>
  <c r="V13" i="6"/>
  <c r="Z13" i="6"/>
  <c r="AD13" i="6"/>
  <c r="AH13" i="6"/>
  <c r="AL13" i="6"/>
  <c r="R14" i="6"/>
  <c r="V14" i="6"/>
  <c r="Z14" i="6"/>
  <c r="AD14" i="6"/>
  <c r="AH14" i="6"/>
  <c r="AL14" i="6"/>
  <c r="R15" i="6"/>
  <c r="V15" i="6"/>
  <c r="Z15" i="6"/>
  <c r="AD15" i="6"/>
  <c r="AH15" i="6"/>
  <c r="AL15" i="6"/>
  <c r="R16" i="6"/>
  <c r="V16" i="6"/>
  <c r="Z16" i="6"/>
  <c r="AD16" i="6"/>
  <c r="AH16" i="6"/>
  <c r="AL16" i="6"/>
  <c r="R17" i="6"/>
  <c r="V17" i="6"/>
  <c r="Z17" i="6"/>
  <c r="AD17" i="6"/>
  <c r="AH17" i="6"/>
  <c r="AL17" i="6"/>
  <c r="R18" i="6"/>
  <c r="V18" i="6"/>
  <c r="Z18" i="6"/>
  <c r="AD18" i="6"/>
  <c r="AH18" i="6"/>
  <c r="AL18" i="6"/>
  <c r="R19" i="6"/>
  <c r="V19" i="6"/>
  <c r="Z19" i="6"/>
  <c r="AD19" i="6"/>
  <c r="AH19" i="6"/>
  <c r="AL19" i="6"/>
  <c r="R20" i="6"/>
  <c r="V20" i="6"/>
  <c r="Z20" i="6"/>
  <c r="AD20" i="6"/>
  <c r="AH20" i="6"/>
  <c r="AL20" i="6"/>
  <c r="R21" i="6"/>
  <c r="V21" i="6"/>
  <c r="Z21" i="6"/>
  <c r="AD21" i="6"/>
  <c r="AH21" i="6"/>
  <c r="AL21" i="6"/>
  <c r="R22" i="6"/>
  <c r="V22" i="6"/>
  <c r="Z22" i="6"/>
  <c r="AD22" i="6"/>
  <c r="AH22" i="6"/>
  <c r="AL22" i="6"/>
  <c r="R23" i="6"/>
  <c r="V23" i="6"/>
  <c r="Z23" i="6"/>
  <c r="AD23" i="6"/>
  <c r="AH23" i="6"/>
  <c r="AL23" i="6"/>
  <c r="R24" i="6"/>
  <c r="V24" i="6"/>
  <c r="Z24" i="6"/>
  <c r="AD24" i="6"/>
  <c r="AH24" i="6"/>
  <c r="AL24" i="6"/>
  <c r="R25" i="6"/>
  <c r="V25" i="6"/>
  <c r="Z25" i="6"/>
  <c r="AD25" i="6"/>
  <c r="AH25" i="6"/>
  <c r="AL25" i="6"/>
  <c r="R26" i="6"/>
  <c r="V26" i="6"/>
  <c r="Z26" i="6"/>
  <c r="AD26" i="6"/>
  <c r="AH26" i="6"/>
  <c r="AL26" i="6"/>
  <c r="R27" i="6"/>
  <c r="V27" i="6"/>
  <c r="Z27" i="6"/>
  <c r="AD27" i="6"/>
  <c r="AH27" i="6"/>
  <c r="AL27" i="6"/>
  <c r="R28" i="6"/>
  <c r="V28" i="6"/>
  <c r="Z28" i="6"/>
  <c r="AD28" i="6"/>
  <c r="AH28" i="6"/>
  <c r="AL28" i="6"/>
  <c r="R29" i="6"/>
  <c r="V29" i="6"/>
  <c r="Z29" i="6"/>
  <c r="AD29" i="6"/>
  <c r="AH29" i="6"/>
  <c r="AL29" i="6"/>
  <c r="R30" i="6"/>
  <c r="V30" i="6"/>
  <c r="Z30" i="6"/>
  <c r="AD30" i="6"/>
  <c r="AH30" i="6"/>
  <c r="AL30" i="6"/>
  <c r="R31" i="6"/>
  <c r="V31" i="6"/>
  <c r="Z31" i="6"/>
  <c r="AD31" i="6"/>
  <c r="AH31" i="6"/>
  <c r="AL31" i="6"/>
  <c r="Q3" i="6"/>
  <c r="Y3" i="6"/>
  <c r="AC3" i="6"/>
  <c r="AG3" i="6"/>
  <c r="AK3" i="6"/>
  <c r="Q4" i="6"/>
  <c r="Y4" i="6"/>
  <c r="AC4" i="6"/>
  <c r="AG4" i="6"/>
  <c r="AK4" i="6"/>
  <c r="Q5" i="6"/>
  <c r="Y5" i="6"/>
  <c r="AC5" i="6"/>
  <c r="AG5" i="6"/>
  <c r="AK5" i="6"/>
  <c r="Q6" i="6"/>
  <c r="Y6" i="6"/>
  <c r="AC6" i="6"/>
  <c r="AG6" i="6"/>
  <c r="AK6" i="6"/>
  <c r="Q7" i="6"/>
  <c r="Y7" i="6"/>
  <c r="AC7" i="6"/>
  <c r="AG7" i="6"/>
  <c r="AK7" i="6"/>
  <c r="Q8" i="6"/>
  <c r="Y8" i="6"/>
  <c r="AC8" i="6"/>
  <c r="AG8" i="6"/>
  <c r="AK8" i="6"/>
  <c r="Q9" i="6"/>
  <c r="Y9" i="6"/>
  <c r="AC9" i="6"/>
  <c r="AG9" i="6"/>
  <c r="AK9" i="6"/>
  <c r="Q10" i="6"/>
  <c r="Y10" i="6"/>
  <c r="AC10" i="6"/>
  <c r="AG10" i="6"/>
  <c r="AK10" i="6"/>
  <c r="Q11" i="6"/>
  <c r="Y11" i="6"/>
  <c r="AC11" i="6"/>
  <c r="AG11" i="6"/>
  <c r="AK11" i="6"/>
  <c r="Q12" i="6"/>
  <c r="Y12" i="6"/>
  <c r="AC12" i="6"/>
  <c r="AG12" i="6"/>
  <c r="AK12" i="6"/>
  <c r="Q13" i="6"/>
  <c r="Y13" i="6"/>
  <c r="AC13" i="6"/>
  <c r="AG13" i="6"/>
  <c r="AK13" i="6"/>
  <c r="Q14" i="6"/>
  <c r="Y14" i="6"/>
  <c r="AC14" i="6"/>
  <c r="AG14" i="6"/>
  <c r="AK14" i="6"/>
  <c r="Q15" i="6"/>
  <c r="Y15" i="6"/>
  <c r="AC15" i="6"/>
  <c r="AG15" i="6"/>
  <c r="AK15" i="6"/>
  <c r="Q16" i="6"/>
  <c r="Y16" i="6"/>
  <c r="AC16" i="6"/>
  <c r="AG16" i="6"/>
  <c r="AK16" i="6"/>
  <c r="Q17" i="6"/>
  <c r="Y17" i="6"/>
  <c r="AC17" i="6"/>
  <c r="AG17" i="6"/>
  <c r="AK17" i="6"/>
  <c r="Q18" i="6"/>
  <c r="Y18" i="6"/>
  <c r="AC18" i="6"/>
  <c r="AG18" i="6"/>
  <c r="AK18" i="6"/>
  <c r="Q19" i="6"/>
  <c r="Y19" i="6"/>
  <c r="AC19" i="6"/>
  <c r="AG19" i="6"/>
  <c r="AK19" i="6"/>
  <c r="Q20" i="6"/>
  <c r="Y20" i="6"/>
  <c r="AC20" i="6"/>
  <c r="AG20" i="6"/>
  <c r="AK20" i="6"/>
  <c r="Q21" i="6"/>
  <c r="Y21" i="6"/>
  <c r="AC21" i="6"/>
  <c r="AG21" i="6"/>
  <c r="AK21" i="6"/>
  <c r="Q22" i="6"/>
  <c r="Y22" i="6"/>
  <c r="AC22" i="6"/>
  <c r="AG22" i="6"/>
  <c r="AK22" i="6"/>
  <c r="Q23" i="6"/>
  <c r="Y23" i="6"/>
  <c r="AC23" i="6"/>
  <c r="AG23" i="6"/>
  <c r="AK23" i="6"/>
  <c r="Q24" i="6"/>
  <c r="Y24" i="6"/>
  <c r="AC24" i="6"/>
  <c r="AG24" i="6"/>
  <c r="AK24" i="6"/>
  <c r="Q25" i="6"/>
  <c r="Y25" i="6"/>
  <c r="AC25" i="6"/>
  <c r="AG25" i="6"/>
  <c r="AK25" i="6"/>
  <c r="Q26" i="6"/>
  <c r="Y26" i="6"/>
  <c r="AC26" i="6"/>
  <c r="AG26" i="6"/>
  <c r="AK26" i="6"/>
  <c r="Q27" i="6"/>
  <c r="Y27" i="6"/>
  <c r="AC27" i="6"/>
  <c r="AG27" i="6"/>
  <c r="AK27" i="6"/>
  <c r="Q28" i="6"/>
  <c r="Y28" i="6"/>
  <c r="AC28" i="6"/>
  <c r="AG28" i="6"/>
  <c r="AK28" i="6"/>
  <c r="Q29" i="6"/>
  <c r="Y29" i="6"/>
  <c r="AC29" i="6"/>
  <c r="AG29" i="6"/>
  <c r="AK29" i="6"/>
  <c r="Q30" i="6"/>
  <c r="Y30" i="6"/>
  <c r="AC30" i="6"/>
  <c r="AG30" i="6"/>
  <c r="AK30" i="6"/>
  <c r="Q31" i="6"/>
  <c r="Y31" i="6"/>
  <c r="AC31" i="6"/>
  <c r="AG31" i="6"/>
  <c r="AK31" i="6"/>
  <c r="R3" i="7"/>
  <c r="V3" i="7"/>
  <c r="Z3" i="7"/>
  <c r="AD3" i="7"/>
  <c r="AH3" i="7"/>
  <c r="AL3" i="7"/>
  <c r="V4" i="7"/>
  <c r="Z4" i="7"/>
  <c r="AD4" i="7"/>
  <c r="AH4" i="7"/>
  <c r="AL4" i="7"/>
  <c r="V5" i="7"/>
  <c r="Z5" i="7"/>
  <c r="AD5" i="7"/>
  <c r="AH5" i="7"/>
  <c r="AL5" i="7"/>
  <c r="V6" i="7"/>
  <c r="Z6" i="7"/>
  <c r="AD6" i="7"/>
  <c r="AH6" i="7"/>
  <c r="AL6" i="7"/>
  <c r="V7" i="7"/>
  <c r="Z7" i="7"/>
  <c r="AD7" i="7"/>
  <c r="AH7" i="7"/>
  <c r="AL7" i="7"/>
  <c r="V8" i="7"/>
  <c r="Z8" i="7"/>
  <c r="AD8" i="7"/>
  <c r="AH8" i="7"/>
  <c r="AL8" i="7"/>
  <c r="V9" i="7"/>
  <c r="Z9" i="7"/>
  <c r="AD9" i="7"/>
  <c r="AH9" i="7"/>
  <c r="AL9" i="7"/>
  <c r="R10" i="7"/>
  <c r="V10" i="7"/>
  <c r="Z10" i="7"/>
  <c r="AD10" i="7"/>
  <c r="AH10" i="7"/>
  <c r="AL10" i="7"/>
  <c r="R11" i="7"/>
  <c r="V11" i="7"/>
  <c r="Z11" i="7"/>
  <c r="AD11" i="7"/>
  <c r="AH11" i="7"/>
  <c r="AL11" i="7"/>
  <c r="R12" i="7"/>
  <c r="V12" i="7"/>
  <c r="Z12" i="7"/>
  <c r="AD12" i="7"/>
  <c r="AH12" i="7"/>
  <c r="AL12" i="7"/>
  <c r="R13" i="7"/>
  <c r="V13" i="7"/>
  <c r="Z13" i="7"/>
  <c r="AD13" i="7"/>
  <c r="AH13" i="7"/>
  <c r="AL13" i="7"/>
  <c r="R14" i="7"/>
  <c r="V14" i="7"/>
  <c r="Z14" i="7"/>
  <c r="AD14" i="7"/>
  <c r="AH14" i="7"/>
  <c r="AL14" i="7"/>
  <c r="R15" i="7"/>
  <c r="V15" i="7"/>
  <c r="Z15" i="7"/>
  <c r="AD15" i="7"/>
  <c r="AH15" i="7"/>
  <c r="AL15" i="7"/>
  <c r="R16" i="7"/>
  <c r="V16" i="7"/>
  <c r="Z16" i="7"/>
  <c r="AD16" i="7"/>
  <c r="AH16" i="7"/>
  <c r="AL16" i="7"/>
  <c r="R17" i="7"/>
  <c r="V17" i="7"/>
  <c r="Z17" i="7"/>
  <c r="AD17" i="7"/>
  <c r="AH17" i="7"/>
  <c r="AL17" i="7"/>
  <c r="R18" i="7"/>
  <c r="V18" i="7"/>
  <c r="Z18" i="7"/>
  <c r="AD18" i="7"/>
  <c r="AH18" i="7"/>
  <c r="AL18" i="7"/>
  <c r="R19" i="7"/>
  <c r="V19" i="7"/>
  <c r="Z19" i="7"/>
  <c r="AD19" i="7"/>
  <c r="AH19" i="7"/>
  <c r="AL19" i="7"/>
  <c r="R20" i="7"/>
  <c r="V20" i="7"/>
  <c r="Z20" i="7"/>
  <c r="AD20" i="7"/>
  <c r="AH20" i="7"/>
  <c r="AL20" i="7"/>
  <c r="R21" i="7"/>
  <c r="V21" i="7"/>
  <c r="Z21" i="7"/>
  <c r="AD21" i="7"/>
  <c r="AH21" i="7"/>
  <c r="AL21" i="7"/>
  <c r="R22" i="7"/>
  <c r="V22" i="7"/>
  <c r="Z22" i="7"/>
  <c r="AD22" i="7"/>
  <c r="AH22" i="7"/>
  <c r="AL22" i="7"/>
  <c r="R23" i="7"/>
  <c r="V23" i="7"/>
  <c r="Z23" i="7"/>
  <c r="AD23" i="7"/>
  <c r="AH23" i="7"/>
  <c r="AL23" i="7"/>
  <c r="R24" i="7"/>
  <c r="V24" i="7"/>
  <c r="Z24" i="7"/>
  <c r="AD24" i="7"/>
  <c r="AH24" i="7"/>
  <c r="AL24" i="7"/>
  <c r="R25" i="7"/>
  <c r="V25" i="7"/>
  <c r="Z25" i="7"/>
  <c r="AD25" i="7"/>
  <c r="AH25" i="7"/>
  <c r="AL25" i="7"/>
  <c r="R26" i="7"/>
  <c r="V26" i="7"/>
  <c r="Z26" i="7"/>
  <c r="AD26" i="7"/>
  <c r="AH26" i="7"/>
  <c r="AL26" i="7"/>
  <c r="R27" i="7"/>
  <c r="V27" i="7"/>
  <c r="Z27" i="7"/>
  <c r="AD27" i="7"/>
  <c r="AH27" i="7"/>
  <c r="AL27" i="7"/>
  <c r="R28" i="7"/>
  <c r="V28" i="7"/>
  <c r="Z28" i="7"/>
  <c r="AD28" i="7"/>
  <c r="AH28" i="7"/>
  <c r="AL28" i="7"/>
  <c r="R29" i="7"/>
  <c r="V29" i="7"/>
  <c r="Z29" i="7"/>
  <c r="AD29" i="7"/>
  <c r="AH29" i="7"/>
  <c r="AL29" i="7"/>
  <c r="R30" i="7"/>
  <c r="V30" i="7"/>
  <c r="Z30" i="7"/>
  <c r="AD30" i="7"/>
  <c r="AH30" i="7"/>
  <c r="AL30" i="7"/>
  <c r="R31" i="7"/>
  <c r="V31" i="7"/>
  <c r="Z31" i="7"/>
  <c r="AD31" i="7"/>
  <c r="AH31" i="7"/>
  <c r="AL31" i="7"/>
  <c r="Q3" i="7"/>
  <c r="Y3" i="7"/>
  <c r="AC3" i="7"/>
  <c r="AG3" i="7"/>
  <c r="AK3" i="7"/>
  <c r="Y4" i="7"/>
  <c r="AC4" i="7"/>
  <c r="AG4" i="7"/>
  <c r="AK4" i="7"/>
  <c r="Y5" i="7"/>
  <c r="AC5" i="7"/>
  <c r="AG5" i="7"/>
  <c r="AK5" i="7"/>
  <c r="Y6" i="7"/>
  <c r="AC6" i="7"/>
  <c r="AG6" i="7"/>
  <c r="AK6" i="7"/>
  <c r="Y7" i="7"/>
  <c r="AC7" i="7"/>
  <c r="AG7" i="7"/>
  <c r="AK7" i="7"/>
  <c r="Y8" i="7"/>
  <c r="AC8" i="7"/>
  <c r="AG8" i="7"/>
  <c r="AK8" i="7"/>
  <c r="Y9" i="7"/>
  <c r="AC9" i="7"/>
  <c r="AG9" i="7"/>
  <c r="AK9" i="7"/>
  <c r="Q10" i="7"/>
  <c r="Y10" i="7"/>
  <c r="AC10" i="7"/>
  <c r="AG10" i="7"/>
  <c r="AK10" i="7"/>
  <c r="Q11" i="7"/>
  <c r="Y11" i="7"/>
  <c r="AC11" i="7"/>
  <c r="AG11" i="7"/>
  <c r="AK11" i="7"/>
  <c r="Q12" i="7"/>
  <c r="Y12" i="7"/>
  <c r="AC12" i="7"/>
  <c r="AG12" i="7"/>
  <c r="AK12" i="7"/>
  <c r="Q13" i="7"/>
  <c r="Y13" i="7"/>
  <c r="AC13" i="7"/>
  <c r="AG13" i="7"/>
  <c r="AK13" i="7"/>
  <c r="Q14" i="7"/>
  <c r="Y14" i="7"/>
  <c r="AC14" i="7"/>
  <c r="AG14" i="7"/>
  <c r="AK14" i="7"/>
  <c r="Q15" i="7"/>
  <c r="Y15" i="7"/>
  <c r="AC15" i="7"/>
  <c r="AG15" i="7"/>
  <c r="AK15" i="7"/>
  <c r="Q16" i="7"/>
  <c r="Y16" i="7"/>
  <c r="AC16" i="7"/>
  <c r="AG16" i="7"/>
  <c r="AK16" i="7"/>
  <c r="Q17" i="7"/>
  <c r="Y17" i="7"/>
  <c r="AC17" i="7"/>
  <c r="AG17" i="7"/>
  <c r="AK17" i="7"/>
  <c r="Q18" i="7"/>
  <c r="Y18" i="7"/>
  <c r="AC18" i="7"/>
  <c r="AG18" i="7"/>
  <c r="AK18" i="7"/>
  <c r="Q19" i="7"/>
  <c r="Y19" i="7"/>
  <c r="AC19" i="7"/>
  <c r="AG19" i="7"/>
  <c r="AK19" i="7"/>
  <c r="Q20" i="7"/>
  <c r="Y20" i="7"/>
  <c r="AC20" i="7"/>
  <c r="AG20" i="7"/>
  <c r="AK20" i="7"/>
  <c r="Q21" i="7"/>
  <c r="Y21" i="7"/>
  <c r="AC21" i="7"/>
  <c r="AG21" i="7"/>
  <c r="AK21" i="7"/>
  <c r="Q22" i="7"/>
  <c r="Y22" i="7"/>
  <c r="AC22" i="7"/>
  <c r="AG22" i="7"/>
  <c r="AK22" i="7"/>
  <c r="Q23" i="7"/>
  <c r="Y23" i="7"/>
  <c r="AC23" i="7"/>
  <c r="AG23" i="7"/>
  <c r="AK23" i="7"/>
  <c r="Q24" i="7"/>
  <c r="Y24" i="7"/>
  <c r="AC24" i="7"/>
  <c r="AG24" i="7"/>
  <c r="AK24" i="7"/>
  <c r="Q25" i="7"/>
  <c r="Y25" i="7"/>
  <c r="AC25" i="7"/>
  <c r="AG25" i="7"/>
  <c r="AK25" i="7"/>
  <c r="Q26" i="7"/>
  <c r="Y26" i="7"/>
  <c r="AC26" i="7"/>
  <c r="AG26" i="7"/>
  <c r="AK26" i="7"/>
  <c r="Q27" i="7"/>
  <c r="Y27" i="7"/>
  <c r="AC27" i="7"/>
  <c r="AG27" i="7"/>
  <c r="AK27" i="7"/>
  <c r="Q28" i="7"/>
  <c r="Y28" i="7"/>
  <c r="AC28" i="7"/>
  <c r="AG28" i="7"/>
  <c r="AK28" i="7"/>
  <c r="Q29" i="7"/>
  <c r="Y29" i="7"/>
  <c r="AC29" i="7"/>
  <c r="AG29" i="7"/>
  <c r="AK29" i="7"/>
  <c r="Q30" i="7"/>
  <c r="Y30" i="7"/>
  <c r="AC30" i="7"/>
  <c r="AG30" i="7"/>
  <c r="AK30" i="7"/>
  <c r="Q31" i="7"/>
  <c r="Y31" i="7"/>
  <c r="AC31" i="7"/>
  <c r="AG31" i="7"/>
  <c r="AK31" i="7"/>
  <c r="Q3" i="11"/>
  <c r="U3" i="11"/>
  <c r="Y3" i="11"/>
  <c r="AC3" i="11"/>
  <c r="AG3" i="11"/>
  <c r="AK3" i="11"/>
  <c r="Q4" i="11"/>
  <c r="U4" i="11"/>
  <c r="Y4" i="11"/>
  <c r="AC4" i="11"/>
  <c r="AG4" i="11"/>
  <c r="AK4" i="11"/>
  <c r="Q5" i="11"/>
  <c r="U5" i="11"/>
  <c r="Y5" i="11"/>
  <c r="AC5" i="11"/>
  <c r="AG5" i="11"/>
  <c r="AK5" i="11"/>
  <c r="Q6" i="11"/>
  <c r="U6" i="11"/>
  <c r="Y6" i="11"/>
  <c r="AC6" i="11"/>
  <c r="AG6" i="11"/>
  <c r="AK6" i="11"/>
  <c r="Q7" i="11"/>
  <c r="U7" i="11"/>
  <c r="Y7" i="11"/>
  <c r="AC7" i="11"/>
  <c r="AG7" i="11"/>
  <c r="AK7" i="11"/>
  <c r="Q8" i="11"/>
  <c r="U8" i="11"/>
  <c r="Y8" i="11"/>
  <c r="AC8" i="11"/>
  <c r="AG8" i="11"/>
  <c r="AK8" i="11"/>
  <c r="Q9" i="11"/>
  <c r="U9" i="11"/>
  <c r="Y9" i="11"/>
  <c r="AC9" i="11"/>
  <c r="AG9" i="11"/>
  <c r="AK9" i="11"/>
  <c r="Q10" i="11"/>
  <c r="U10" i="11"/>
  <c r="Y10" i="11"/>
  <c r="AC10" i="11"/>
  <c r="AG10" i="11"/>
  <c r="AK10" i="11"/>
  <c r="Q11" i="11"/>
  <c r="U11" i="11"/>
  <c r="Y11" i="11"/>
  <c r="AC11" i="11"/>
  <c r="AG11" i="11"/>
  <c r="AK11" i="11"/>
  <c r="Q12" i="11"/>
  <c r="U12" i="11"/>
  <c r="Y12" i="11"/>
  <c r="AC12" i="11"/>
  <c r="AG12" i="11"/>
  <c r="AK12" i="11"/>
  <c r="Q13" i="11"/>
  <c r="U13" i="11"/>
  <c r="Y13" i="11"/>
  <c r="AC13" i="11"/>
  <c r="AG13" i="11"/>
  <c r="AK13" i="11"/>
  <c r="Q14" i="11"/>
  <c r="U14" i="11"/>
  <c r="Y14" i="11"/>
  <c r="AC14" i="11"/>
  <c r="AG14" i="11"/>
  <c r="AK14" i="11"/>
  <c r="Q15" i="11"/>
  <c r="U15" i="11"/>
  <c r="Y15" i="11"/>
  <c r="AC15" i="11"/>
  <c r="AG15" i="11"/>
  <c r="AK15" i="11"/>
  <c r="Q16" i="11"/>
  <c r="U16" i="11"/>
  <c r="Y16" i="11"/>
  <c r="AC16" i="11"/>
  <c r="AG16" i="11"/>
  <c r="AK16" i="11"/>
  <c r="Q17" i="11"/>
  <c r="U17" i="11"/>
  <c r="Y17" i="11"/>
  <c r="AC17" i="11"/>
  <c r="AG17" i="11"/>
  <c r="AK17" i="11"/>
  <c r="Q18" i="11"/>
  <c r="U18" i="11"/>
  <c r="Y18" i="11"/>
  <c r="AC18" i="11"/>
  <c r="AG18" i="11"/>
  <c r="AK18" i="11"/>
  <c r="Q19" i="11"/>
  <c r="U19" i="11"/>
  <c r="Y19" i="11"/>
  <c r="AC19" i="11"/>
  <c r="AG19" i="11"/>
  <c r="AK19" i="11"/>
  <c r="Q20" i="11"/>
  <c r="U20" i="11"/>
  <c r="Y20" i="11"/>
  <c r="AC20" i="11"/>
  <c r="AG20" i="11"/>
  <c r="AK20" i="11"/>
  <c r="Q21" i="11"/>
  <c r="U21" i="11"/>
  <c r="Y21" i="11"/>
  <c r="AC21" i="11"/>
  <c r="AG21" i="11"/>
  <c r="AK21" i="11"/>
  <c r="Q22" i="11"/>
  <c r="U22" i="11"/>
  <c r="Y22" i="11"/>
  <c r="AC22" i="11"/>
  <c r="AG22" i="11"/>
  <c r="AK22" i="11"/>
  <c r="Q23" i="11"/>
  <c r="U23" i="11"/>
  <c r="Y23" i="11"/>
  <c r="AC23" i="11"/>
  <c r="AG23" i="11"/>
  <c r="AK23" i="11"/>
  <c r="Q24" i="11"/>
  <c r="U24" i="11"/>
  <c r="Y24" i="11"/>
  <c r="AC24" i="11"/>
  <c r="AG24" i="11"/>
  <c r="AK24" i="11"/>
  <c r="Q25" i="11"/>
  <c r="U25" i="11"/>
  <c r="Y25" i="11"/>
  <c r="AC25" i="11"/>
  <c r="AG25" i="11"/>
  <c r="AK25" i="11"/>
  <c r="Q26" i="11"/>
  <c r="U26" i="11"/>
  <c r="Y26" i="11"/>
  <c r="AC26" i="11"/>
  <c r="AG26" i="11"/>
  <c r="AK26" i="11"/>
  <c r="Q27" i="11"/>
  <c r="U27" i="11"/>
  <c r="Y27" i="11"/>
  <c r="AC27" i="11"/>
  <c r="AG27" i="11"/>
  <c r="AK27" i="11"/>
  <c r="Q28" i="11"/>
  <c r="U28" i="11"/>
  <c r="Y28" i="11"/>
  <c r="AC28" i="11"/>
  <c r="AG28" i="11"/>
  <c r="AK28" i="11"/>
  <c r="Q29" i="11"/>
  <c r="U29" i="11"/>
  <c r="Y29" i="11"/>
  <c r="AC29" i="11"/>
  <c r="AG29" i="11"/>
  <c r="AK29" i="11"/>
  <c r="Q30" i="11"/>
  <c r="U30" i="11"/>
  <c r="Y30" i="11"/>
  <c r="AC30" i="11"/>
  <c r="AG30" i="11"/>
  <c r="AK30" i="11"/>
  <c r="Q31" i="11"/>
  <c r="U31" i="11"/>
  <c r="Y31" i="11"/>
  <c r="AC31" i="11"/>
  <c r="AG31" i="11"/>
  <c r="AK31" i="11"/>
  <c r="P3" i="11"/>
  <c r="X3" i="11"/>
  <c r="AB3" i="11"/>
  <c r="AF3" i="11"/>
  <c r="AJ3" i="11"/>
  <c r="P4" i="11"/>
  <c r="H4" i="11" s="1"/>
  <c r="X4" i="11"/>
  <c r="AB4" i="11"/>
  <c r="AF4" i="11"/>
  <c r="AJ4" i="11"/>
  <c r="P5" i="11"/>
  <c r="X5" i="11"/>
  <c r="AB5" i="11"/>
  <c r="AF5" i="11"/>
  <c r="AJ5" i="11"/>
  <c r="P6" i="11"/>
  <c r="X6" i="11"/>
  <c r="AB6" i="11"/>
  <c r="AF6" i="11"/>
  <c r="AJ6" i="11"/>
  <c r="P7" i="11"/>
  <c r="X7" i="11"/>
  <c r="AB7" i="11"/>
  <c r="AF7" i="11"/>
  <c r="AJ7" i="11"/>
  <c r="P8" i="11"/>
  <c r="H8" i="11" s="1"/>
  <c r="X8" i="11"/>
  <c r="AB8" i="11"/>
  <c r="AF8" i="11"/>
  <c r="AJ8" i="11"/>
  <c r="P9" i="11"/>
  <c r="X9" i="11"/>
  <c r="AB9" i="11"/>
  <c r="AF9" i="11"/>
  <c r="AJ9" i="11"/>
  <c r="P10" i="11"/>
  <c r="X10" i="11"/>
  <c r="AB10" i="11"/>
  <c r="AF10" i="11"/>
  <c r="AJ10" i="11"/>
  <c r="P11" i="11"/>
  <c r="X11" i="11"/>
  <c r="AB11" i="11"/>
  <c r="AF11" i="11"/>
  <c r="AJ11" i="11"/>
  <c r="P12" i="11"/>
  <c r="H12" i="11" s="1"/>
  <c r="X12" i="11"/>
  <c r="AB12" i="11"/>
  <c r="AF12" i="11"/>
  <c r="AJ12" i="11"/>
  <c r="P13" i="11"/>
  <c r="X13" i="11"/>
  <c r="AB13" i="11"/>
  <c r="AF13" i="11"/>
  <c r="AJ13" i="11"/>
  <c r="P14" i="11"/>
  <c r="X14" i="11"/>
  <c r="AB14" i="11"/>
  <c r="AF14" i="11"/>
  <c r="AJ14" i="11"/>
  <c r="P15" i="11"/>
  <c r="X15" i="11"/>
  <c r="AB15" i="11"/>
  <c r="AF15" i="11"/>
  <c r="AJ15" i="11"/>
  <c r="P16" i="11"/>
  <c r="X16" i="11"/>
  <c r="AB16" i="11"/>
  <c r="AF16" i="11"/>
  <c r="AJ16" i="11"/>
  <c r="P17" i="11"/>
  <c r="X17" i="11"/>
  <c r="AB17" i="11"/>
  <c r="AF17" i="11"/>
  <c r="AJ17" i="11"/>
  <c r="P18" i="11"/>
  <c r="X18" i="11"/>
  <c r="AB18" i="11"/>
  <c r="AF18" i="11"/>
  <c r="AJ18" i="11"/>
  <c r="P19" i="11"/>
  <c r="X19" i="11"/>
  <c r="AB19" i="11"/>
  <c r="AF19" i="11"/>
  <c r="AJ19" i="11"/>
  <c r="P20" i="11"/>
  <c r="X20" i="11"/>
  <c r="AB20" i="11"/>
  <c r="AF20" i="11"/>
  <c r="AJ20" i="11"/>
  <c r="P21" i="11"/>
  <c r="X21" i="11"/>
  <c r="AB21" i="11"/>
  <c r="AF21" i="11"/>
  <c r="AJ21" i="11"/>
  <c r="P22" i="11"/>
  <c r="X22" i="11"/>
  <c r="AB22" i="11"/>
  <c r="AF22" i="11"/>
  <c r="AJ22" i="11"/>
  <c r="P23" i="11"/>
  <c r="X23" i="11"/>
  <c r="AB23" i="11"/>
  <c r="AF23" i="11"/>
  <c r="AJ23" i="11"/>
  <c r="P24" i="11"/>
  <c r="X24" i="11"/>
  <c r="AB24" i="11"/>
  <c r="AF24" i="11"/>
  <c r="AJ24" i="11"/>
  <c r="P25" i="11"/>
  <c r="X25" i="11"/>
  <c r="AB25" i="11"/>
  <c r="AF25" i="11"/>
  <c r="AJ25" i="11"/>
  <c r="P26" i="11"/>
  <c r="X26" i="11"/>
  <c r="AB26" i="11"/>
  <c r="AF26" i="11"/>
  <c r="AJ26" i="11"/>
  <c r="P27" i="11"/>
  <c r="X27" i="11"/>
  <c r="AB27" i="11"/>
  <c r="AF27" i="11"/>
  <c r="AJ27" i="11"/>
  <c r="P28" i="11"/>
  <c r="H28" i="11" s="1"/>
  <c r="X28" i="11"/>
  <c r="AB28" i="11"/>
  <c r="AF28" i="11"/>
  <c r="AJ28" i="11"/>
  <c r="P29" i="11"/>
  <c r="X29" i="11"/>
  <c r="AB29" i="11"/>
  <c r="AF29" i="11"/>
  <c r="AJ29" i="11"/>
  <c r="P30" i="11"/>
  <c r="X30" i="11"/>
  <c r="AB30" i="11"/>
  <c r="AF30" i="11"/>
  <c r="AJ30" i="11"/>
  <c r="P31" i="11"/>
  <c r="X31" i="11"/>
  <c r="AB31" i="11"/>
  <c r="AF31" i="11"/>
  <c r="AJ31" i="11"/>
  <c r="Q3" i="10"/>
  <c r="I3" i="10" s="1"/>
  <c r="AK3" i="10"/>
  <c r="Q4" i="10"/>
  <c r="Y4" i="10"/>
  <c r="AC4" i="10"/>
  <c r="AG4" i="10"/>
  <c r="AK4" i="10"/>
  <c r="Q5" i="10"/>
  <c r="Y5" i="10"/>
  <c r="AC5" i="10"/>
  <c r="AG5" i="10"/>
  <c r="AK5" i="10"/>
  <c r="Q6" i="10"/>
  <c r="Y6" i="10"/>
  <c r="AC6" i="10"/>
  <c r="AG6" i="10"/>
  <c r="AK6" i="10"/>
  <c r="Q7" i="10"/>
  <c r="Y7" i="10"/>
  <c r="AC7" i="10"/>
  <c r="AG7" i="10"/>
  <c r="AK7" i="10"/>
  <c r="Q8" i="10"/>
  <c r="Y8" i="10"/>
  <c r="AC8" i="10"/>
  <c r="AG8" i="10"/>
  <c r="AK8" i="10"/>
  <c r="Q9" i="10"/>
  <c r="Y9" i="10"/>
  <c r="AC9" i="10"/>
  <c r="AG9" i="10"/>
  <c r="AK9" i="10"/>
  <c r="Q10" i="10"/>
  <c r="Y10" i="10"/>
  <c r="AC10" i="10"/>
  <c r="AG10" i="10"/>
  <c r="AK10" i="10"/>
  <c r="Q11" i="10"/>
  <c r="Y11" i="10"/>
  <c r="AC11" i="10"/>
  <c r="AG11" i="10"/>
  <c r="AK11" i="10"/>
  <c r="Q12" i="10"/>
  <c r="Y12" i="10"/>
  <c r="AC12" i="10"/>
  <c r="AG12" i="10"/>
  <c r="AK12" i="10"/>
  <c r="Q13" i="10"/>
  <c r="Y13" i="10"/>
  <c r="AC13" i="10"/>
  <c r="AG13" i="10"/>
  <c r="AK13" i="10"/>
  <c r="Q14" i="10"/>
  <c r="Y14" i="10"/>
  <c r="AC14" i="10"/>
  <c r="AG14" i="10"/>
  <c r="AK14" i="10"/>
  <c r="Q15" i="10"/>
  <c r="Y15" i="10"/>
  <c r="AC15" i="10"/>
  <c r="AG15" i="10"/>
  <c r="AK15" i="10"/>
  <c r="Q16" i="10"/>
  <c r="Y16" i="10"/>
  <c r="AC16" i="10"/>
  <c r="AG16" i="10"/>
  <c r="AK16" i="10"/>
  <c r="Q17" i="10"/>
  <c r="Y17" i="10"/>
  <c r="AC17" i="10"/>
  <c r="AG17" i="10"/>
  <c r="AK17" i="10"/>
  <c r="Q18" i="10"/>
  <c r="Y18" i="10"/>
  <c r="AC18" i="10"/>
  <c r="AG18" i="10"/>
  <c r="AK18" i="10"/>
  <c r="Q19" i="10"/>
  <c r="Y19" i="10"/>
  <c r="AC19" i="10"/>
  <c r="AG19" i="10"/>
  <c r="AK19" i="10"/>
  <c r="Q20" i="10"/>
  <c r="Y20" i="10"/>
  <c r="AC20" i="10"/>
  <c r="AG20" i="10"/>
  <c r="AK20" i="10"/>
  <c r="Q21" i="10"/>
  <c r="Y21" i="10"/>
  <c r="AC21" i="10"/>
  <c r="AG21" i="10"/>
  <c r="AK21" i="10"/>
  <c r="Q22" i="10"/>
  <c r="Y22" i="10"/>
  <c r="AC22" i="10"/>
  <c r="AG22" i="10"/>
  <c r="AK22" i="10"/>
  <c r="Q23" i="10"/>
  <c r="Y23" i="10"/>
  <c r="AC23" i="10"/>
  <c r="AG23" i="10"/>
  <c r="AK23" i="10"/>
  <c r="Q24" i="10"/>
  <c r="Y24" i="10"/>
  <c r="AC24" i="10"/>
  <c r="AG24" i="10"/>
  <c r="AK24" i="10"/>
  <c r="Q25" i="10"/>
  <c r="Y25" i="10"/>
  <c r="AC25" i="10"/>
  <c r="AG25" i="10"/>
  <c r="AK25" i="10"/>
  <c r="Q26" i="10"/>
  <c r="Y26" i="10"/>
  <c r="AC26" i="10"/>
  <c r="AG26" i="10"/>
  <c r="AK26" i="10"/>
  <c r="Q27" i="10"/>
  <c r="Y27" i="10"/>
  <c r="AC27" i="10"/>
  <c r="AG27" i="10"/>
  <c r="AK27" i="10"/>
  <c r="Q28" i="10"/>
  <c r="Y28" i="10"/>
  <c r="AC28" i="10"/>
  <c r="AG28" i="10"/>
  <c r="AK28" i="10"/>
  <c r="Q29" i="10"/>
  <c r="Y29" i="10"/>
  <c r="AC29" i="10"/>
  <c r="AG29" i="10"/>
  <c r="AK29" i="10"/>
  <c r="Q30" i="10"/>
  <c r="Y30" i="10"/>
  <c r="AC30" i="10"/>
  <c r="AG30" i="10"/>
  <c r="AK30" i="10"/>
  <c r="Q31" i="10"/>
  <c r="Y31" i="10"/>
  <c r="AC31" i="10"/>
  <c r="AG31" i="10"/>
  <c r="AK31" i="10"/>
  <c r="P3" i="10"/>
  <c r="AJ3" i="10"/>
  <c r="P4" i="10"/>
  <c r="X4" i="10"/>
  <c r="AB4" i="10"/>
  <c r="AF4" i="10"/>
  <c r="AJ4" i="10"/>
  <c r="P5" i="10"/>
  <c r="X5" i="10"/>
  <c r="AB5" i="10"/>
  <c r="AF5" i="10"/>
  <c r="AJ5" i="10"/>
  <c r="P6" i="10"/>
  <c r="X6" i="10"/>
  <c r="AB6" i="10"/>
  <c r="AF6" i="10"/>
  <c r="AJ6" i="10"/>
  <c r="P7" i="10"/>
  <c r="X7" i="10"/>
  <c r="AB7" i="10"/>
  <c r="AF7" i="10"/>
  <c r="AJ7" i="10"/>
  <c r="P8" i="10"/>
  <c r="X8" i="10"/>
  <c r="AB8" i="10"/>
  <c r="AF8" i="10"/>
  <c r="AJ8" i="10"/>
  <c r="P9" i="10"/>
  <c r="X9" i="10"/>
  <c r="AB9" i="10"/>
  <c r="AF9" i="10"/>
  <c r="AJ9" i="10"/>
  <c r="P10" i="10"/>
  <c r="X10" i="10"/>
  <c r="AB10" i="10"/>
  <c r="AF10" i="10"/>
  <c r="AJ10" i="10"/>
  <c r="P11" i="10"/>
  <c r="X11" i="10"/>
  <c r="AB11" i="10"/>
  <c r="AF11" i="10"/>
  <c r="AJ11" i="10"/>
  <c r="P12" i="10"/>
  <c r="X12" i="10"/>
  <c r="AB12" i="10"/>
  <c r="AF12" i="10"/>
  <c r="AJ12" i="10"/>
  <c r="P13" i="10"/>
  <c r="X13" i="10"/>
  <c r="AB13" i="10"/>
  <c r="AF13" i="10"/>
  <c r="AJ13" i="10"/>
  <c r="P14" i="10"/>
  <c r="X14" i="10"/>
  <c r="AB14" i="10"/>
  <c r="AF14" i="10"/>
  <c r="AJ14" i="10"/>
  <c r="P15" i="10"/>
  <c r="X15" i="10"/>
  <c r="AB15" i="10"/>
  <c r="AF15" i="10"/>
  <c r="AJ15" i="10"/>
  <c r="P16" i="10"/>
  <c r="X16" i="10"/>
  <c r="AB16" i="10"/>
  <c r="AF16" i="10"/>
  <c r="AJ16" i="10"/>
  <c r="P17" i="10"/>
  <c r="X17" i="10"/>
  <c r="AB17" i="10"/>
  <c r="AF17" i="10"/>
  <c r="AJ17" i="10"/>
  <c r="P18" i="10"/>
  <c r="X18" i="10"/>
  <c r="AB18" i="10"/>
  <c r="AF18" i="10"/>
  <c r="AJ18" i="10"/>
  <c r="P19" i="10"/>
  <c r="X19" i="10"/>
  <c r="AB19" i="10"/>
  <c r="AF19" i="10"/>
  <c r="AJ19" i="10"/>
  <c r="P20" i="10"/>
  <c r="X20" i="10"/>
  <c r="AB20" i="10"/>
  <c r="AF20" i="10"/>
  <c r="AJ20" i="10"/>
  <c r="P21" i="10"/>
  <c r="X21" i="10"/>
  <c r="AB21" i="10"/>
  <c r="AF21" i="10"/>
  <c r="AJ21" i="10"/>
  <c r="P22" i="10"/>
  <c r="X22" i="10"/>
  <c r="AB22" i="10"/>
  <c r="AF22" i="10"/>
  <c r="AJ22" i="10"/>
  <c r="P23" i="10"/>
  <c r="X23" i="10"/>
  <c r="AB23" i="10"/>
  <c r="AF23" i="10"/>
  <c r="AJ23" i="10"/>
  <c r="P24" i="10"/>
  <c r="X24" i="10"/>
  <c r="AB24" i="10"/>
  <c r="AF24" i="10"/>
  <c r="AJ24" i="10"/>
  <c r="P25" i="10"/>
  <c r="X25" i="10"/>
  <c r="AB25" i="10"/>
  <c r="AF25" i="10"/>
  <c r="AJ25" i="10"/>
  <c r="P26" i="10"/>
  <c r="X26" i="10"/>
  <c r="AB26" i="10"/>
  <c r="AF26" i="10"/>
  <c r="AJ26" i="10"/>
  <c r="P27" i="10"/>
  <c r="X27" i="10"/>
  <c r="AB27" i="10"/>
  <c r="AF27" i="10"/>
  <c r="AJ27" i="10"/>
  <c r="P28" i="10"/>
  <c r="X28" i="10"/>
  <c r="AB28" i="10"/>
  <c r="AF28" i="10"/>
  <c r="AJ28" i="10"/>
  <c r="P29" i="10"/>
  <c r="X29" i="10"/>
  <c r="AB29" i="10"/>
  <c r="AF29" i="10"/>
  <c r="AJ29" i="10"/>
  <c r="P30" i="10"/>
  <c r="X30" i="10"/>
  <c r="AB30" i="10"/>
  <c r="AF30" i="10"/>
  <c r="AJ30" i="10"/>
  <c r="P31" i="10"/>
  <c r="X31" i="10"/>
  <c r="AB31" i="10"/>
  <c r="AF31" i="10"/>
  <c r="AJ31" i="10"/>
  <c r="AI15" i="10"/>
  <c r="E3" i="10"/>
  <c r="J3" i="10"/>
  <c r="K3" i="10" s="1"/>
  <c r="O3" i="10"/>
  <c r="AI3" i="10"/>
  <c r="E31" i="10"/>
  <c r="E30" i="10"/>
  <c r="E29" i="10"/>
  <c r="E28" i="10"/>
  <c r="E27" i="10"/>
  <c r="E26" i="10"/>
  <c r="E25" i="10"/>
  <c r="E24" i="10"/>
  <c r="E23" i="10"/>
  <c r="E22" i="10"/>
  <c r="E21" i="10"/>
  <c r="E20" i="10"/>
  <c r="E19" i="10"/>
  <c r="E18" i="10"/>
  <c r="E17" i="10"/>
  <c r="E16" i="10"/>
  <c r="E15" i="10"/>
  <c r="E14" i="10"/>
  <c r="E13" i="10"/>
  <c r="E12" i="10"/>
  <c r="E11" i="10"/>
  <c r="E10" i="10"/>
  <c r="E9" i="10"/>
  <c r="E8" i="10"/>
  <c r="E7" i="10"/>
  <c r="E6" i="10"/>
  <c r="E5" i="10"/>
  <c r="E4" i="10"/>
  <c r="J4" i="10"/>
  <c r="K4" i="10" s="1"/>
  <c r="O4" i="10"/>
  <c r="W4" i="10"/>
  <c r="AA4" i="10"/>
  <c r="AE4" i="10"/>
  <c r="AI4" i="10"/>
  <c r="J5" i="10"/>
  <c r="K5" i="10" s="1"/>
  <c r="O5" i="10"/>
  <c r="W5" i="10"/>
  <c r="AA5" i="10"/>
  <c r="AE5" i="10"/>
  <c r="AI5" i="10"/>
  <c r="K6" i="10"/>
  <c r="O6" i="10"/>
  <c r="W6" i="10"/>
  <c r="AA6" i="10"/>
  <c r="AE6" i="10"/>
  <c r="AI6" i="10"/>
  <c r="J7" i="10"/>
  <c r="K7" i="10" s="1"/>
  <c r="O7" i="10"/>
  <c r="W7" i="10"/>
  <c r="AA7" i="10"/>
  <c r="AE7" i="10"/>
  <c r="AI7" i="10"/>
  <c r="J8" i="10"/>
  <c r="K8" i="10" s="1"/>
  <c r="O8" i="10"/>
  <c r="W8" i="10"/>
  <c r="AA8" i="10"/>
  <c r="AE8" i="10"/>
  <c r="AI8" i="10"/>
  <c r="J9" i="10"/>
  <c r="K9" i="10" s="1"/>
  <c r="O9" i="10"/>
  <c r="W9" i="10"/>
  <c r="AA9" i="10"/>
  <c r="AE9" i="10"/>
  <c r="AI9" i="10"/>
  <c r="J10" i="10"/>
  <c r="K10" i="10" s="1"/>
  <c r="O10" i="10"/>
  <c r="W10" i="10"/>
  <c r="AA10" i="10"/>
  <c r="AE10" i="10"/>
  <c r="AI10" i="10"/>
  <c r="J11" i="10"/>
  <c r="K11" i="10" s="1"/>
  <c r="O11" i="10"/>
  <c r="W11" i="10"/>
  <c r="AA11" i="10"/>
  <c r="AE11" i="10"/>
  <c r="AI11" i="10"/>
  <c r="J12" i="10"/>
  <c r="K12" i="10" s="1"/>
  <c r="O12" i="10"/>
  <c r="W12" i="10"/>
  <c r="AA12" i="10"/>
  <c r="AE12" i="10"/>
  <c r="AI12" i="10"/>
  <c r="J13" i="10"/>
  <c r="K13" i="10" s="1"/>
  <c r="O13" i="10"/>
  <c r="W13" i="10"/>
  <c r="AA13" i="10"/>
  <c r="AE13" i="10"/>
  <c r="AI13" i="10"/>
  <c r="J14" i="10"/>
  <c r="K14" i="10" s="1"/>
  <c r="O14" i="10"/>
  <c r="W14" i="10"/>
  <c r="AA14" i="10"/>
  <c r="AE14" i="10"/>
  <c r="AI14" i="10"/>
  <c r="J15" i="10"/>
  <c r="K15" i="10" s="1"/>
  <c r="O15" i="10"/>
  <c r="W15" i="10"/>
  <c r="AA15" i="10"/>
  <c r="AE15" i="10"/>
  <c r="J16" i="10"/>
  <c r="K16" i="10" s="1"/>
  <c r="O16" i="10"/>
  <c r="W16" i="10"/>
  <c r="AA16" i="10"/>
  <c r="AE16" i="10"/>
  <c r="AI16" i="10"/>
  <c r="J17" i="10"/>
  <c r="K17" i="10" s="1"/>
  <c r="O17" i="10"/>
  <c r="W17" i="10"/>
  <c r="AA17" i="10"/>
  <c r="AE17" i="10"/>
  <c r="AI17" i="10"/>
  <c r="J18" i="10"/>
  <c r="K18" i="10" s="1"/>
  <c r="O18" i="10"/>
  <c r="W18" i="10"/>
  <c r="AA18" i="10"/>
  <c r="AE18" i="10"/>
  <c r="AI18" i="10"/>
  <c r="J19" i="10"/>
  <c r="K19" i="10" s="1"/>
  <c r="O19" i="10"/>
  <c r="W19" i="10"/>
  <c r="AA19" i="10"/>
  <c r="AE19" i="10"/>
  <c r="AI19" i="10"/>
  <c r="J20" i="10"/>
  <c r="K20" i="10" s="1"/>
  <c r="O20" i="10"/>
  <c r="W20" i="10"/>
  <c r="AA20" i="10"/>
  <c r="AE20" i="10"/>
  <c r="AI20" i="10"/>
  <c r="J21" i="10"/>
  <c r="K21" i="10" s="1"/>
  <c r="O21" i="10"/>
  <c r="W21" i="10"/>
  <c r="AA21" i="10"/>
  <c r="AE21" i="10"/>
  <c r="AI21" i="10"/>
  <c r="J22" i="10"/>
  <c r="K22" i="10" s="1"/>
  <c r="O22" i="10"/>
  <c r="W22" i="10"/>
  <c r="AA22" i="10"/>
  <c r="AE22" i="10"/>
  <c r="AI22" i="10"/>
  <c r="J23" i="10"/>
  <c r="K23" i="10" s="1"/>
  <c r="O23" i="10"/>
  <c r="W23" i="10"/>
  <c r="AA23" i="10"/>
  <c r="AE23" i="10"/>
  <c r="AI23" i="10"/>
  <c r="J24" i="10"/>
  <c r="K24" i="10" s="1"/>
  <c r="O24" i="10"/>
  <c r="W24" i="10"/>
  <c r="AA24" i="10"/>
  <c r="AE24" i="10"/>
  <c r="AI24" i="10"/>
  <c r="J25" i="10"/>
  <c r="K25" i="10" s="1"/>
  <c r="O25" i="10"/>
  <c r="W25" i="10"/>
  <c r="AA25" i="10"/>
  <c r="AE25" i="10"/>
  <c r="AI25" i="10"/>
  <c r="J26" i="10"/>
  <c r="K26" i="10" s="1"/>
  <c r="O26" i="10"/>
  <c r="W26" i="10"/>
  <c r="AA26" i="10"/>
  <c r="AE26" i="10"/>
  <c r="AI26" i="10"/>
  <c r="J27" i="10"/>
  <c r="K27" i="10" s="1"/>
  <c r="O27" i="10"/>
  <c r="W27" i="10"/>
  <c r="AA27" i="10"/>
  <c r="AE27" i="10"/>
  <c r="AI27" i="10"/>
  <c r="J28" i="10"/>
  <c r="K28" i="10" s="1"/>
  <c r="O28" i="10"/>
  <c r="W28" i="10"/>
  <c r="AA28" i="10"/>
  <c r="AE28" i="10"/>
  <c r="AI28" i="10"/>
  <c r="J29" i="10"/>
  <c r="K29" i="10" s="1"/>
  <c r="O29" i="10"/>
  <c r="W29" i="10"/>
  <c r="AA29" i="10"/>
  <c r="AE29" i="10"/>
  <c r="AI29" i="10"/>
  <c r="J30" i="10"/>
  <c r="K30" i="10" s="1"/>
  <c r="O30" i="10"/>
  <c r="W30" i="10"/>
  <c r="AA30" i="10"/>
  <c r="AE30" i="10"/>
  <c r="AI30" i="10"/>
  <c r="J31" i="10"/>
  <c r="K31" i="10" s="1"/>
  <c r="O31" i="10"/>
  <c r="W31" i="10"/>
  <c r="AA31" i="10"/>
  <c r="AE31" i="10"/>
  <c r="AI31" i="10"/>
  <c r="C3" i="10"/>
  <c r="C31" i="10"/>
  <c r="C30" i="10"/>
  <c r="C29" i="10"/>
  <c r="C28" i="10"/>
  <c r="C27" i="10"/>
  <c r="C26" i="10"/>
  <c r="C25" i="10"/>
  <c r="C24" i="10"/>
  <c r="C23" i="10"/>
  <c r="C22" i="10"/>
  <c r="C21" i="10"/>
  <c r="C20" i="10"/>
  <c r="C19" i="10"/>
  <c r="C18" i="10"/>
  <c r="C17" i="10"/>
  <c r="C16" i="10"/>
  <c r="C15" i="10"/>
  <c r="C14" i="10"/>
  <c r="C13" i="10"/>
  <c r="C12" i="10"/>
  <c r="C11" i="10"/>
  <c r="C10" i="10"/>
  <c r="C9" i="10"/>
  <c r="C8" i="10"/>
  <c r="C7" i="10"/>
  <c r="C6" i="10"/>
  <c r="C5" i="10"/>
  <c r="C4" i="10"/>
  <c r="F15" i="10"/>
  <c r="G15" i="10"/>
  <c r="B136" i="14"/>
  <c r="B137" i="14"/>
  <c r="B138" i="14" s="1"/>
  <c r="B139" i="14" s="1"/>
  <c r="B140" i="14" s="1"/>
  <c r="B141" i="14" s="1"/>
  <c r="B142" i="14" s="1"/>
  <c r="B143" i="14" s="1"/>
  <c r="B144" i="14" s="1"/>
  <c r="B145" i="14" s="1"/>
  <c r="B146" i="14" s="1"/>
  <c r="B147" i="14" s="1"/>
  <c r="B148" i="14" s="1"/>
  <c r="B149" i="14" s="1"/>
  <c r="B150" i="14" s="1"/>
  <c r="B151" i="14" s="1"/>
  <c r="B152" i="14" s="1"/>
  <c r="B153" i="14" s="1"/>
  <c r="B154" i="14" s="1"/>
  <c r="B155" i="14" s="1"/>
  <c r="D3" i="14"/>
  <c r="D4" i="14" s="1"/>
  <c r="D5" i="14" s="1"/>
  <c r="D6" i="14" s="1"/>
  <c r="D7" i="14" s="1"/>
  <c r="D8" i="14" s="1"/>
  <c r="D9" i="14" s="1"/>
  <c r="D10" i="14" s="1"/>
  <c r="D11" i="14" s="1"/>
  <c r="D12" i="14" s="1"/>
  <c r="A3" i="14"/>
  <c r="A4" i="14" s="1"/>
  <c r="A5" i="14" s="1"/>
  <c r="A6" i="14" s="1"/>
  <c r="A7" i="14" s="1"/>
  <c r="A8" i="14" s="1"/>
  <c r="A9" i="14" s="1"/>
  <c r="A10" i="14" s="1"/>
  <c r="A11" i="14" s="1"/>
  <c r="A12" i="14" s="1"/>
  <c r="A13" i="14" s="1"/>
  <c r="A14" i="14" s="1"/>
  <c r="A15" i="14" s="1"/>
  <c r="A16" i="14" s="1"/>
  <c r="A17" i="14" s="1"/>
  <c r="A18" i="14" s="1"/>
  <c r="A19" i="14" s="1"/>
  <c r="A20" i="14" s="1"/>
  <c r="A21" i="14" s="1"/>
  <c r="A22" i="14" s="1"/>
  <c r="A23" i="14" s="1"/>
  <c r="A24" i="14" s="1"/>
  <c r="A25" i="14" s="1"/>
  <c r="A26" i="14" s="1"/>
  <c r="A27" i="14" s="1"/>
  <c r="A28" i="14" s="1"/>
  <c r="A29" i="14" s="1"/>
  <c r="A30" i="14" s="1"/>
  <c r="A31" i="14" s="1"/>
  <c r="A32" i="14" s="1"/>
  <c r="A33" i="14" s="1"/>
  <c r="A34" i="14" s="1"/>
  <c r="A35" i="14" s="1"/>
  <c r="A36" i="14" s="1"/>
  <c r="A37" i="14" s="1"/>
  <c r="A38" i="14" s="1"/>
  <c r="A39" i="14" s="1"/>
  <c r="A40" i="14" s="1"/>
  <c r="A41" i="14" s="1"/>
  <c r="A42" i="14" s="1"/>
  <c r="A43" i="14" s="1"/>
  <c r="A44" i="14" s="1"/>
  <c r="A45" i="14" s="1"/>
  <c r="A46" i="14" s="1"/>
  <c r="A47" i="14" s="1"/>
  <c r="A48" i="14" s="1"/>
  <c r="A49" i="14" s="1"/>
  <c r="A50" i="14" s="1"/>
  <c r="A51" i="14" s="1"/>
  <c r="A52" i="14" s="1"/>
  <c r="A53" i="14" s="1"/>
  <c r="A54" i="14" s="1"/>
  <c r="A55" i="14" s="1"/>
  <c r="A56" i="14" s="1"/>
  <c r="A57" i="14" s="1"/>
  <c r="A58" i="14" s="1"/>
  <c r="A59" i="14" s="1"/>
  <c r="A60" i="14" s="1"/>
  <c r="A61" i="14" s="1"/>
  <c r="A62" i="14" s="1"/>
  <c r="A63" i="14" s="1"/>
  <c r="A64" i="14" s="1"/>
  <c r="A65" i="14" s="1"/>
  <c r="A66" i="14" s="1"/>
  <c r="A67" i="14" s="1"/>
  <c r="A68" i="14" s="1"/>
  <c r="A69" i="14" s="1"/>
  <c r="A70" i="14" s="1"/>
  <c r="A71" i="14" s="1"/>
  <c r="A72" i="14" s="1"/>
  <c r="A73" i="14" s="1"/>
  <c r="A74" i="14" s="1"/>
  <c r="A75" i="14" s="1"/>
  <c r="A76" i="14" s="1"/>
  <c r="A77" i="14" s="1"/>
  <c r="A78" i="14" s="1"/>
  <c r="A79" i="14" s="1"/>
  <c r="A80" i="14" s="1"/>
  <c r="A81" i="14" s="1"/>
  <c r="A82" i="14" s="1"/>
  <c r="A83" i="14" s="1"/>
  <c r="A84" i="14" s="1"/>
  <c r="A85" i="14" s="1"/>
  <c r="A86" i="14" s="1"/>
  <c r="A87" i="14" s="1"/>
  <c r="A88" i="14" s="1"/>
  <c r="A89" i="14" s="1"/>
  <c r="A90" i="14" s="1"/>
  <c r="A91" i="14" s="1"/>
  <c r="A92" i="14" s="1"/>
  <c r="A93" i="14" s="1"/>
  <c r="A94" i="14" s="1"/>
  <c r="A95" i="14" s="1"/>
  <c r="A96" i="14" s="1"/>
  <c r="A97" i="14" s="1"/>
  <c r="A98" i="14" s="1"/>
  <c r="A99" i="14" s="1"/>
  <c r="A100" i="14" s="1"/>
  <c r="A101" i="14" s="1"/>
  <c r="A102" i="14" s="1"/>
  <c r="B137" i="13"/>
  <c r="B138" i="13"/>
  <c r="B139" i="13" s="1"/>
  <c r="B140" i="13" s="1"/>
  <c r="B141" i="13" s="1"/>
  <c r="B142" i="13" s="1"/>
  <c r="B143" i="13" s="1"/>
  <c r="B144" i="13" s="1"/>
  <c r="B145" i="13" s="1"/>
  <c r="B146" i="13" s="1"/>
  <c r="B147" i="13" s="1"/>
  <c r="B148" i="13" s="1"/>
  <c r="B149" i="13" s="1"/>
  <c r="B150" i="13" s="1"/>
  <c r="B151" i="13" s="1"/>
  <c r="B152" i="13" s="1"/>
  <c r="B153" i="13" s="1"/>
  <c r="B154" i="13" s="1"/>
  <c r="B155" i="13" s="1"/>
  <c r="B156" i="13" s="1"/>
  <c r="D4" i="13"/>
  <c r="D5" i="13" s="1"/>
  <c r="D6" i="13" s="1"/>
  <c r="D7" i="13" s="1"/>
  <c r="D8" i="13" s="1"/>
  <c r="D9" i="13" s="1"/>
  <c r="D10" i="13" s="1"/>
  <c r="D11" i="13" s="1"/>
  <c r="D12" i="13" s="1"/>
  <c r="D13" i="13" s="1"/>
  <c r="A4" i="13"/>
  <c r="A5" i="13" s="1"/>
  <c r="A6" i="13" s="1"/>
  <c r="A7" i="13" s="1"/>
  <c r="A8" i="13" s="1"/>
  <c r="A9" i="13" s="1"/>
  <c r="A10" i="13" s="1"/>
  <c r="A11" i="13" s="1"/>
  <c r="A12" i="13" s="1"/>
  <c r="A13" i="13" s="1"/>
  <c r="A14" i="13" s="1"/>
  <c r="A15" i="13" s="1"/>
  <c r="A16" i="13" s="1"/>
  <c r="A17" i="13" s="1"/>
  <c r="A18" i="13" s="1"/>
  <c r="A19" i="13" s="1"/>
  <c r="A20" i="13" s="1"/>
  <c r="A21" i="13" s="1"/>
  <c r="A22" i="13" s="1"/>
  <c r="A23" i="13" s="1"/>
  <c r="A24" i="13" s="1"/>
  <c r="A25" i="13" s="1"/>
  <c r="A26" i="13" s="1"/>
  <c r="A27" i="13" s="1"/>
  <c r="A28" i="13" s="1"/>
  <c r="A29" i="13" s="1"/>
  <c r="A30" i="13" s="1"/>
  <c r="A31" i="13" s="1"/>
  <c r="A32" i="13" s="1"/>
  <c r="A33" i="13" s="1"/>
  <c r="A34" i="13" s="1"/>
  <c r="A35" i="13" s="1"/>
  <c r="A36" i="13" s="1"/>
  <c r="A37" i="13" s="1"/>
  <c r="A38" i="13" s="1"/>
  <c r="A39" i="13" s="1"/>
  <c r="A40" i="13" s="1"/>
  <c r="A41" i="13" s="1"/>
  <c r="A42" i="13" s="1"/>
  <c r="A43" i="13" s="1"/>
  <c r="A44" i="13" s="1"/>
  <c r="A45" i="13" s="1"/>
  <c r="A46" i="13" s="1"/>
  <c r="A47" i="13" s="1"/>
  <c r="A48" i="13" s="1"/>
  <c r="A49" i="13" s="1"/>
  <c r="A50" i="13" s="1"/>
  <c r="A51" i="13" s="1"/>
  <c r="A52" i="13" s="1"/>
  <c r="A53" i="13" s="1"/>
  <c r="A54" i="13" s="1"/>
  <c r="A55" i="13" s="1"/>
  <c r="A56" i="13" s="1"/>
  <c r="A57" i="13" s="1"/>
  <c r="A58" i="13" s="1"/>
  <c r="A59" i="13" s="1"/>
  <c r="A60" i="13" s="1"/>
  <c r="A61" i="13" s="1"/>
  <c r="A62" i="13" s="1"/>
  <c r="A63" i="13" s="1"/>
  <c r="A64" i="13" s="1"/>
  <c r="A65" i="13" s="1"/>
  <c r="A66" i="13" s="1"/>
  <c r="A67" i="13" s="1"/>
  <c r="A68" i="13" s="1"/>
  <c r="A69" i="13" s="1"/>
  <c r="A70" i="13" s="1"/>
  <c r="A71" i="13" s="1"/>
  <c r="A72" i="13" s="1"/>
  <c r="A73" i="13" s="1"/>
  <c r="A74" i="13" s="1"/>
  <c r="A75" i="13" s="1"/>
  <c r="A76" i="13" s="1"/>
  <c r="A77" i="13" s="1"/>
  <c r="A78" i="13" s="1"/>
  <c r="A79" i="13" s="1"/>
  <c r="A80" i="13" s="1"/>
  <c r="A81" i="13" s="1"/>
  <c r="A82" i="13" s="1"/>
  <c r="A83" i="13" s="1"/>
  <c r="A84" i="13" s="1"/>
  <c r="A85" i="13" s="1"/>
  <c r="A86" i="13" s="1"/>
  <c r="A87" i="13" s="1"/>
  <c r="A88" i="13" s="1"/>
  <c r="A89" i="13" s="1"/>
  <c r="A90" i="13" s="1"/>
  <c r="A91" i="13" s="1"/>
  <c r="A92" i="13" s="1"/>
  <c r="A93" i="13" s="1"/>
  <c r="A94" i="13" s="1"/>
  <c r="A95" i="13" s="1"/>
  <c r="A96" i="13" s="1"/>
  <c r="A97" i="13" s="1"/>
  <c r="A98" i="13" s="1"/>
  <c r="A99" i="13" s="1"/>
  <c r="A100" i="13" s="1"/>
  <c r="A101" i="13" s="1"/>
  <c r="A102" i="13" s="1"/>
  <c r="A103" i="13" s="1"/>
  <c r="F3" i="10"/>
  <c r="G3" i="10"/>
  <c r="F4" i="10"/>
  <c r="G4" i="10"/>
  <c r="F5" i="10"/>
  <c r="G5" i="10"/>
  <c r="F6" i="10"/>
  <c r="G6" i="10"/>
  <c r="K3" i="11"/>
  <c r="O3" i="11"/>
  <c r="S3" i="11"/>
  <c r="K4" i="11"/>
  <c r="O4" i="11"/>
  <c r="S4" i="11"/>
  <c r="K5" i="11"/>
  <c r="O5" i="11"/>
  <c r="S5" i="11"/>
  <c r="K6" i="11"/>
  <c r="O6" i="11"/>
  <c r="S6" i="11"/>
  <c r="K7" i="11"/>
  <c r="O7" i="11"/>
  <c r="S7" i="11"/>
  <c r="K8" i="11"/>
  <c r="O8" i="11"/>
  <c r="S8" i="11"/>
  <c r="K9" i="11"/>
  <c r="O9" i="11"/>
  <c r="S9" i="11"/>
  <c r="K10" i="11"/>
  <c r="O10" i="11"/>
  <c r="S10" i="11"/>
  <c r="K11" i="11"/>
  <c r="O11" i="11"/>
  <c r="S11" i="11"/>
  <c r="W6" i="11"/>
  <c r="AA6" i="11"/>
  <c r="AE6" i="11"/>
  <c r="AI6" i="11"/>
  <c r="W8" i="11"/>
  <c r="AA8" i="11"/>
  <c r="AE8" i="11"/>
  <c r="AI8" i="11"/>
  <c r="W10" i="11"/>
  <c r="AA10" i="11"/>
  <c r="AE10" i="11"/>
  <c r="AI10" i="11"/>
  <c r="W11" i="11"/>
  <c r="AA11" i="11"/>
  <c r="AE11" i="11"/>
  <c r="AI11" i="11"/>
  <c r="W4" i="11"/>
  <c r="AA4" i="11"/>
  <c r="AE4" i="11"/>
  <c r="AI4" i="11"/>
  <c r="B29" i="8"/>
  <c r="M19" i="8" s="1"/>
  <c r="B29" i="12"/>
  <c r="M19" i="12" s="1"/>
  <c r="B26" i="12"/>
  <c r="L19" i="12" s="1"/>
  <c r="B13" i="12"/>
  <c r="B1" i="12"/>
  <c r="AI31" i="11"/>
  <c r="AE31" i="11"/>
  <c r="AA31" i="11"/>
  <c r="W31" i="11"/>
  <c r="S31" i="11"/>
  <c r="O31" i="11"/>
  <c r="K31" i="11"/>
  <c r="AI30" i="11"/>
  <c r="AE30" i="11"/>
  <c r="AA30" i="11"/>
  <c r="W30" i="11"/>
  <c r="S30" i="11"/>
  <c r="O30" i="11"/>
  <c r="K30" i="11"/>
  <c r="B30" i="11" s="1"/>
  <c r="AI29" i="11"/>
  <c r="AE29" i="11"/>
  <c r="AA29" i="11"/>
  <c r="W29" i="11"/>
  <c r="S29" i="11"/>
  <c r="O29" i="11"/>
  <c r="K29" i="11"/>
  <c r="AI28" i="11"/>
  <c r="AE28" i="11"/>
  <c r="AA28" i="11"/>
  <c r="W28" i="11"/>
  <c r="S28" i="11"/>
  <c r="O28" i="11"/>
  <c r="K28" i="11"/>
  <c r="AI27" i="11"/>
  <c r="AE27" i="11"/>
  <c r="AA27" i="11"/>
  <c r="W27" i="11"/>
  <c r="S27" i="11"/>
  <c r="O27" i="11"/>
  <c r="K27" i="11"/>
  <c r="AI26" i="11"/>
  <c r="AE26" i="11"/>
  <c r="AA26" i="11"/>
  <c r="W26" i="11"/>
  <c r="S26" i="11"/>
  <c r="O26" i="11"/>
  <c r="K26" i="11"/>
  <c r="B26" i="11" s="1"/>
  <c r="AI25" i="11"/>
  <c r="AE25" i="11"/>
  <c r="AA25" i="11"/>
  <c r="W25" i="11"/>
  <c r="S25" i="11"/>
  <c r="O25" i="11"/>
  <c r="K25" i="11"/>
  <c r="AI24" i="11"/>
  <c r="AE24" i="11"/>
  <c r="AA24" i="11"/>
  <c r="W24" i="11"/>
  <c r="S24" i="11"/>
  <c r="O24" i="11"/>
  <c r="K24" i="11"/>
  <c r="AI23" i="11"/>
  <c r="AE23" i="11"/>
  <c r="AA23" i="11"/>
  <c r="W23" i="11"/>
  <c r="S23" i="11"/>
  <c r="O23" i="11"/>
  <c r="K23" i="11"/>
  <c r="AI22" i="11"/>
  <c r="AE22" i="11"/>
  <c r="AA22" i="11"/>
  <c r="W22" i="11"/>
  <c r="S22" i="11"/>
  <c r="O22" i="11"/>
  <c r="K22" i="11"/>
  <c r="B22" i="11" s="1"/>
  <c r="AI21" i="11"/>
  <c r="AE21" i="11"/>
  <c r="AA21" i="11"/>
  <c r="W21" i="11"/>
  <c r="S21" i="11"/>
  <c r="O21" i="11"/>
  <c r="K21" i="11"/>
  <c r="AI20" i="11"/>
  <c r="AE20" i="11"/>
  <c r="AA20" i="11"/>
  <c r="W20" i="11"/>
  <c r="S20" i="11"/>
  <c r="O20" i="11"/>
  <c r="K20" i="11"/>
  <c r="AI19" i="11"/>
  <c r="AE19" i="11"/>
  <c r="AA19" i="11"/>
  <c r="W19" i="11"/>
  <c r="S19" i="11"/>
  <c r="O19" i="11"/>
  <c r="K19" i="11"/>
  <c r="AI18" i="11"/>
  <c r="AE18" i="11"/>
  <c r="AA18" i="11"/>
  <c r="W18" i="11"/>
  <c r="S18" i="11"/>
  <c r="O18" i="11"/>
  <c r="K18" i="11"/>
  <c r="B18" i="11" s="1"/>
  <c r="AI17" i="11"/>
  <c r="AE17" i="11"/>
  <c r="AA17" i="11"/>
  <c r="W17" i="11"/>
  <c r="S17" i="11"/>
  <c r="O17" i="11"/>
  <c r="K17" i="11"/>
  <c r="AI16" i="11"/>
  <c r="AE16" i="11"/>
  <c r="AA16" i="11"/>
  <c r="W16" i="11"/>
  <c r="S16" i="11"/>
  <c r="O16" i="11"/>
  <c r="K16" i="11"/>
  <c r="AI15" i="11"/>
  <c r="AE15" i="11"/>
  <c r="AA15" i="11"/>
  <c r="W15" i="11"/>
  <c r="S15" i="11"/>
  <c r="O15" i="11"/>
  <c r="K15" i="11"/>
  <c r="AI14" i="11"/>
  <c r="AE14" i="11"/>
  <c r="AA14" i="11"/>
  <c r="W14" i="11"/>
  <c r="S14" i="11"/>
  <c r="O14" i="11"/>
  <c r="K14" i="11"/>
  <c r="B14" i="11" s="1"/>
  <c r="AI13" i="11"/>
  <c r="AE13" i="11"/>
  <c r="AA13" i="11"/>
  <c r="W13" i="11"/>
  <c r="S13" i="11"/>
  <c r="O13" i="11"/>
  <c r="K13" i="11"/>
  <c r="AI12" i="11"/>
  <c r="AE12" i="11"/>
  <c r="AA12" i="11"/>
  <c r="W12" i="11"/>
  <c r="S12" i="11"/>
  <c r="O12" i="11"/>
  <c r="K12" i="11"/>
  <c r="AI9" i="11"/>
  <c r="AE9" i="11"/>
  <c r="AA9" i="11"/>
  <c r="W9" i="11"/>
  <c r="AI7" i="11"/>
  <c r="AE7" i="11"/>
  <c r="AA7" i="11"/>
  <c r="W7" i="11"/>
  <c r="AI5" i="11"/>
  <c r="AE5" i="11"/>
  <c r="AA5" i="11"/>
  <c r="W5" i="11"/>
  <c r="AI3" i="11"/>
  <c r="AE3" i="11"/>
  <c r="AA3" i="11"/>
  <c r="W3" i="11"/>
  <c r="G7" i="10"/>
  <c r="G8" i="10"/>
  <c r="G9" i="10"/>
  <c r="G10" i="10"/>
  <c r="G11" i="10"/>
  <c r="G12" i="10"/>
  <c r="G13" i="10"/>
  <c r="G14" i="10"/>
  <c r="G16" i="10"/>
  <c r="G17" i="10"/>
  <c r="G18" i="10"/>
  <c r="G19" i="10"/>
  <c r="G20" i="10"/>
  <c r="G21" i="10"/>
  <c r="G22" i="10"/>
  <c r="G23" i="10"/>
  <c r="G24" i="10"/>
  <c r="G25" i="10"/>
  <c r="G26" i="10"/>
  <c r="G27" i="10"/>
  <c r="G28" i="10"/>
  <c r="G29" i="10"/>
  <c r="G30" i="10"/>
  <c r="G31" i="10"/>
  <c r="F7" i="10"/>
  <c r="F8" i="10"/>
  <c r="F9" i="10"/>
  <c r="F10" i="10"/>
  <c r="F11" i="10"/>
  <c r="F12" i="10"/>
  <c r="F13" i="10"/>
  <c r="F14" i="10"/>
  <c r="F16" i="10"/>
  <c r="F17" i="10"/>
  <c r="F18" i="10"/>
  <c r="F19" i="10"/>
  <c r="F20" i="10"/>
  <c r="F21" i="10"/>
  <c r="F22" i="10"/>
  <c r="F23" i="10"/>
  <c r="F24" i="10"/>
  <c r="F25" i="10"/>
  <c r="F26" i="10"/>
  <c r="F27" i="10"/>
  <c r="F28" i="10"/>
  <c r="F29" i="10"/>
  <c r="F30" i="10"/>
  <c r="F31" i="10"/>
  <c r="B1" i="8"/>
  <c r="L1" i="8" s="1"/>
  <c r="B13" i="8"/>
  <c r="A28" i="12"/>
  <c r="B26" i="8"/>
  <c r="L19" i="8" s="1"/>
  <c r="AJ31" i="7"/>
  <c r="AJ4" i="7"/>
  <c r="AJ5" i="7"/>
  <c r="AJ6" i="7"/>
  <c r="AJ7" i="7"/>
  <c r="AJ8" i="7"/>
  <c r="AJ9" i="7"/>
  <c r="AJ10" i="7"/>
  <c r="AJ11" i="7"/>
  <c r="AJ12" i="7"/>
  <c r="AJ13" i="7"/>
  <c r="AJ14" i="7"/>
  <c r="AJ15" i="7"/>
  <c r="AJ16" i="7"/>
  <c r="AJ17" i="7"/>
  <c r="AJ18" i="7"/>
  <c r="AJ19" i="7"/>
  <c r="AJ20" i="7"/>
  <c r="AJ21" i="7"/>
  <c r="AJ22" i="7"/>
  <c r="AJ23" i="7"/>
  <c r="AJ24" i="7"/>
  <c r="AJ25" i="7"/>
  <c r="AJ26" i="7"/>
  <c r="AJ27" i="7"/>
  <c r="AJ28" i="7"/>
  <c r="AJ29" i="7"/>
  <c r="AJ30" i="7"/>
  <c r="AJ3" i="7"/>
  <c r="AF4" i="7"/>
  <c r="AF5" i="7"/>
  <c r="AF6" i="7"/>
  <c r="AF7" i="7"/>
  <c r="AF8" i="7"/>
  <c r="AF9" i="7"/>
  <c r="AF10" i="7"/>
  <c r="AF11" i="7"/>
  <c r="AF12" i="7"/>
  <c r="AF13" i="7"/>
  <c r="AF14" i="7"/>
  <c r="AF15" i="7"/>
  <c r="AF16" i="7"/>
  <c r="AF17" i="7"/>
  <c r="AF18" i="7"/>
  <c r="AF19" i="7"/>
  <c r="AF20" i="7"/>
  <c r="AF21" i="7"/>
  <c r="AF22" i="7"/>
  <c r="AF23" i="7"/>
  <c r="AF24" i="7"/>
  <c r="AF25" i="7"/>
  <c r="AF26" i="7"/>
  <c r="AF27" i="7"/>
  <c r="AF28" i="7"/>
  <c r="AF29" i="7"/>
  <c r="AF30" i="7"/>
  <c r="AF31" i="7"/>
  <c r="AF3" i="7"/>
  <c r="AB4" i="7"/>
  <c r="AB5" i="7"/>
  <c r="AB6" i="7"/>
  <c r="AB7" i="7"/>
  <c r="AB8" i="7"/>
  <c r="AB9" i="7"/>
  <c r="AB10" i="7"/>
  <c r="AB11" i="7"/>
  <c r="AB12" i="7"/>
  <c r="AB13" i="7"/>
  <c r="AB14" i="7"/>
  <c r="AB15" i="7"/>
  <c r="AB16" i="7"/>
  <c r="AB17" i="7"/>
  <c r="AB18" i="7"/>
  <c r="AB19" i="7"/>
  <c r="AB20" i="7"/>
  <c r="AB21" i="7"/>
  <c r="AB22" i="7"/>
  <c r="AB23" i="7"/>
  <c r="AB24" i="7"/>
  <c r="AB25" i="7"/>
  <c r="AB26" i="7"/>
  <c r="AB27" i="7"/>
  <c r="AB28" i="7"/>
  <c r="AB29" i="7"/>
  <c r="AB30" i="7"/>
  <c r="AB31" i="7"/>
  <c r="AB3" i="7"/>
  <c r="X4" i="7"/>
  <c r="X5" i="7"/>
  <c r="X6" i="7"/>
  <c r="X7" i="7"/>
  <c r="X8" i="7"/>
  <c r="X9" i="7"/>
  <c r="X10" i="7"/>
  <c r="X11" i="7"/>
  <c r="X12" i="7"/>
  <c r="X13" i="7"/>
  <c r="X14" i="7"/>
  <c r="X15" i="7"/>
  <c r="X16" i="7"/>
  <c r="X17" i="7"/>
  <c r="X18" i="7"/>
  <c r="X19" i="7"/>
  <c r="X20" i="7"/>
  <c r="X21" i="7"/>
  <c r="X22" i="7"/>
  <c r="X23" i="7"/>
  <c r="X24" i="7"/>
  <c r="X25" i="7"/>
  <c r="X26" i="7"/>
  <c r="X27" i="7"/>
  <c r="X28" i="7"/>
  <c r="X29" i="7"/>
  <c r="X30" i="7"/>
  <c r="X31" i="7"/>
  <c r="X3" i="7"/>
  <c r="AJ4" i="6"/>
  <c r="AJ5" i="6"/>
  <c r="AJ6" i="6"/>
  <c r="AJ7" i="6"/>
  <c r="AJ8" i="6"/>
  <c r="AJ9" i="6"/>
  <c r="AJ10" i="6"/>
  <c r="AJ11" i="6"/>
  <c r="AJ12" i="6"/>
  <c r="AJ13" i="6"/>
  <c r="AJ14" i="6"/>
  <c r="AJ15" i="6"/>
  <c r="AJ16" i="6"/>
  <c r="AJ17" i="6"/>
  <c r="AJ18" i="6"/>
  <c r="AJ19" i="6"/>
  <c r="AJ20" i="6"/>
  <c r="AJ21" i="6"/>
  <c r="AJ22" i="6"/>
  <c r="AJ23" i="6"/>
  <c r="AJ24" i="6"/>
  <c r="AJ25" i="6"/>
  <c r="AJ26" i="6"/>
  <c r="AJ27" i="6"/>
  <c r="AJ28" i="6"/>
  <c r="AJ29" i="6"/>
  <c r="AJ30" i="6"/>
  <c r="AJ31" i="6"/>
  <c r="AJ3" i="6"/>
  <c r="AF8" i="6"/>
  <c r="AF4" i="6"/>
  <c r="AF5" i="6"/>
  <c r="AF6" i="6"/>
  <c r="AF7" i="6"/>
  <c r="AF9" i="6"/>
  <c r="AF10" i="6"/>
  <c r="AF11" i="6"/>
  <c r="AF12" i="6"/>
  <c r="AF13" i="6"/>
  <c r="AF14" i="6"/>
  <c r="AF15" i="6"/>
  <c r="AF16" i="6"/>
  <c r="AF17" i="6"/>
  <c r="AF18" i="6"/>
  <c r="AF19" i="6"/>
  <c r="AF20" i="6"/>
  <c r="AF21" i="6"/>
  <c r="AF22" i="6"/>
  <c r="AF23" i="6"/>
  <c r="AF24" i="6"/>
  <c r="AF25" i="6"/>
  <c r="AF26" i="6"/>
  <c r="AF27" i="6"/>
  <c r="AF28" i="6"/>
  <c r="AF29" i="6"/>
  <c r="AF30" i="6"/>
  <c r="AF31" i="6"/>
  <c r="AF3" i="6"/>
  <c r="AB4" i="6"/>
  <c r="AB5" i="6"/>
  <c r="AB6" i="6"/>
  <c r="AB7" i="6"/>
  <c r="AB8" i="6"/>
  <c r="AB9" i="6"/>
  <c r="AB10" i="6"/>
  <c r="AB11" i="6"/>
  <c r="AB12" i="6"/>
  <c r="AB13" i="6"/>
  <c r="AB14" i="6"/>
  <c r="AB15" i="6"/>
  <c r="AB16" i="6"/>
  <c r="AB17" i="6"/>
  <c r="AB18" i="6"/>
  <c r="AB19" i="6"/>
  <c r="AB20" i="6"/>
  <c r="AB21" i="6"/>
  <c r="AB22" i="6"/>
  <c r="AB23" i="6"/>
  <c r="AB24" i="6"/>
  <c r="AB25" i="6"/>
  <c r="AB26" i="6"/>
  <c r="AB27" i="6"/>
  <c r="AB28" i="6"/>
  <c r="AB29" i="6"/>
  <c r="AB30" i="6"/>
  <c r="AB31" i="6"/>
  <c r="AB3" i="6"/>
  <c r="X3" i="6"/>
  <c r="X4" i="6"/>
  <c r="X5" i="6"/>
  <c r="X6" i="6"/>
  <c r="X7" i="6"/>
  <c r="X8" i="6"/>
  <c r="X9" i="6"/>
  <c r="X10" i="6"/>
  <c r="X11" i="6"/>
  <c r="X12" i="6"/>
  <c r="X13" i="6"/>
  <c r="X14" i="6"/>
  <c r="X15" i="6"/>
  <c r="X16" i="6"/>
  <c r="X17" i="6"/>
  <c r="X18" i="6"/>
  <c r="X19" i="6"/>
  <c r="X20" i="6"/>
  <c r="X21" i="6"/>
  <c r="X22" i="6"/>
  <c r="X23" i="6"/>
  <c r="X24" i="6"/>
  <c r="X25" i="6"/>
  <c r="X26" i="6"/>
  <c r="X27" i="6"/>
  <c r="X28" i="6"/>
  <c r="X29" i="6"/>
  <c r="X30" i="6"/>
  <c r="X31" i="6"/>
  <c r="T31" i="7"/>
  <c r="P31" i="7"/>
  <c r="L31" i="7"/>
  <c r="H31" i="7"/>
  <c r="G31" i="7"/>
  <c r="F31" i="7"/>
  <c r="D31" i="7"/>
  <c r="E31" i="7" s="1"/>
  <c r="T30" i="7"/>
  <c r="P30" i="7"/>
  <c r="L30" i="7"/>
  <c r="H30" i="7"/>
  <c r="G30" i="7"/>
  <c r="F30" i="7"/>
  <c r="D30" i="7"/>
  <c r="E30" i="7" s="1"/>
  <c r="T29" i="7"/>
  <c r="P29" i="7"/>
  <c r="L29" i="7"/>
  <c r="H29" i="7"/>
  <c r="G29" i="7"/>
  <c r="F29" i="7"/>
  <c r="D29" i="7"/>
  <c r="T28" i="7"/>
  <c r="P28" i="7"/>
  <c r="L28" i="7"/>
  <c r="H28" i="7"/>
  <c r="G28" i="7"/>
  <c r="F28" i="7"/>
  <c r="D28" i="7"/>
  <c r="E28" i="7" s="1"/>
  <c r="T27" i="7"/>
  <c r="P27" i="7"/>
  <c r="L27" i="7"/>
  <c r="H27" i="7"/>
  <c r="G27" i="7"/>
  <c r="F27" i="7"/>
  <c r="D27" i="7"/>
  <c r="E27" i="7" s="1"/>
  <c r="T26" i="7"/>
  <c r="P26" i="7"/>
  <c r="L26" i="7"/>
  <c r="H26" i="7"/>
  <c r="G26" i="7"/>
  <c r="F26" i="7"/>
  <c r="D26" i="7"/>
  <c r="E26" i="7" s="1"/>
  <c r="T25" i="7"/>
  <c r="P25" i="7"/>
  <c r="L25" i="7"/>
  <c r="H25" i="7"/>
  <c r="G25" i="7"/>
  <c r="F25" i="7"/>
  <c r="D25" i="7"/>
  <c r="T24" i="7"/>
  <c r="P24" i="7"/>
  <c r="L24" i="7"/>
  <c r="H24" i="7"/>
  <c r="G24" i="7"/>
  <c r="F24" i="7"/>
  <c r="D24" i="7"/>
  <c r="E24" i="7" s="1"/>
  <c r="T23" i="7"/>
  <c r="P23" i="7"/>
  <c r="L23" i="7"/>
  <c r="H23" i="7"/>
  <c r="G23" i="7"/>
  <c r="F23" i="7"/>
  <c r="D23" i="7"/>
  <c r="E23" i="7" s="1"/>
  <c r="T22" i="7"/>
  <c r="P22" i="7"/>
  <c r="L22" i="7"/>
  <c r="H22" i="7"/>
  <c r="G22" i="7"/>
  <c r="F22" i="7"/>
  <c r="D22" i="7"/>
  <c r="E22" i="7" s="1"/>
  <c r="T21" i="7"/>
  <c r="P21" i="7"/>
  <c r="L21" i="7"/>
  <c r="H21" i="7"/>
  <c r="G21" i="7"/>
  <c r="F21" i="7"/>
  <c r="D21" i="7"/>
  <c r="T20" i="7"/>
  <c r="P20" i="7"/>
  <c r="L20" i="7"/>
  <c r="H20" i="7"/>
  <c r="G20" i="7"/>
  <c r="F20" i="7"/>
  <c r="D20" i="7"/>
  <c r="E20" i="7" s="1"/>
  <c r="T19" i="7"/>
  <c r="P19" i="7"/>
  <c r="L19" i="7"/>
  <c r="H19" i="7"/>
  <c r="G19" i="7"/>
  <c r="F19" i="7"/>
  <c r="D19" i="7"/>
  <c r="E19" i="7" s="1"/>
  <c r="T18" i="7"/>
  <c r="P18" i="7"/>
  <c r="L18" i="7"/>
  <c r="H18" i="7"/>
  <c r="G18" i="7"/>
  <c r="F18" i="7"/>
  <c r="D18" i="7"/>
  <c r="E18" i="7" s="1"/>
  <c r="T17" i="7"/>
  <c r="P17" i="7"/>
  <c r="L17" i="7"/>
  <c r="H17" i="7"/>
  <c r="G17" i="7"/>
  <c r="F17" i="7"/>
  <c r="D17" i="7"/>
  <c r="T16" i="7"/>
  <c r="P16" i="7"/>
  <c r="L16" i="7"/>
  <c r="H16" i="7"/>
  <c r="G16" i="7"/>
  <c r="F16" i="7"/>
  <c r="D16" i="7"/>
  <c r="E16" i="7" s="1"/>
  <c r="T15" i="7"/>
  <c r="P15" i="7"/>
  <c r="L15" i="7"/>
  <c r="H15" i="7"/>
  <c r="G15" i="7"/>
  <c r="F15" i="7"/>
  <c r="D15" i="7"/>
  <c r="E15" i="7" s="1"/>
  <c r="T14" i="7"/>
  <c r="P14" i="7"/>
  <c r="L14" i="7"/>
  <c r="H14" i="7"/>
  <c r="G14" i="7"/>
  <c r="F14" i="7"/>
  <c r="D14" i="7"/>
  <c r="E14" i="7" s="1"/>
  <c r="T13" i="7"/>
  <c r="P13" i="7"/>
  <c r="L13" i="7"/>
  <c r="H13" i="7"/>
  <c r="G13" i="7"/>
  <c r="F13" i="7"/>
  <c r="D13" i="7"/>
  <c r="T12" i="7"/>
  <c r="P12" i="7"/>
  <c r="L12" i="7"/>
  <c r="H12" i="7"/>
  <c r="G12" i="7"/>
  <c r="F12" i="7"/>
  <c r="D12" i="7"/>
  <c r="E12" i="7" s="1"/>
  <c r="T11" i="7"/>
  <c r="P11" i="7"/>
  <c r="L11" i="7"/>
  <c r="H11" i="7"/>
  <c r="G11" i="7"/>
  <c r="F11" i="7"/>
  <c r="D11" i="7"/>
  <c r="E11" i="7" s="1"/>
  <c r="T10" i="7"/>
  <c r="P10" i="7"/>
  <c r="L10" i="7"/>
  <c r="H10" i="7"/>
  <c r="G10" i="7"/>
  <c r="F10" i="7"/>
  <c r="D10" i="7"/>
  <c r="E10" i="7" s="1"/>
  <c r="T9" i="7"/>
  <c r="L9" i="7"/>
  <c r="H9" i="7"/>
  <c r="G9" i="7"/>
  <c r="F9" i="7"/>
  <c r="D9" i="7"/>
  <c r="E9" i="7" s="1"/>
  <c r="T8" i="7"/>
  <c r="L8" i="7"/>
  <c r="H8" i="7"/>
  <c r="G8" i="7"/>
  <c r="F8" i="7"/>
  <c r="D8" i="7"/>
  <c r="T7" i="7"/>
  <c r="L7" i="7"/>
  <c r="C7" i="7" s="1"/>
  <c r="H7" i="7"/>
  <c r="G7" i="7"/>
  <c r="F7" i="7"/>
  <c r="D7" i="7"/>
  <c r="T6" i="7"/>
  <c r="L6" i="7"/>
  <c r="H6" i="7"/>
  <c r="G6" i="7"/>
  <c r="F6" i="7"/>
  <c r="D6" i="7"/>
  <c r="E6" i="7" s="1"/>
  <c r="T5" i="7"/>
  <c r="L5" i="7"/>
  <c r="H5" i="7"/>
  <c r="G5" i="7"/>
  <c r="F5" i="7"/>
  <c r="D5" i="7"/>
  <c r="E5" i="7" s="1"/>
  <c r="T4" i="7"/>
  <c r="L4" i="7"/>
  <c r="H4" i="7"/>
  <c r="G4" i="7"/>
  <c r="F4" i="7"/>
  <c r="D4" i="7"/>
  <c r="T3" i="7"/>
  <c r="P3" i="7"/>
  <c r="L3" i="7"/>
  <c r="H3" i="7"/>
  <c r="G3" i="7"/>
  <c r="F3" i="7"/>
  <c r="D3" i="7"/>
  <c r="T8" i="6"/>
  <c r="T9" i="6"/>
  <c r="T10" i="6"/>
  <c r="T11" i="6"/>
  <c r="T12" i="6"/>
  <c r="T13" i="6"/>
  <c r="T14" i="6"/>
  <c r="T15" i="6"/>
  <c r="T16" i="6"/>
  <c r="T17" i="6"/>
  <c r="T18" i="6"/>
  <c r="T19" i="6"/>
  <c r="T20" i="6"/>
  <c r="T21" i="6"/>
  <c r="T22" i="6"/>
  <c r="T23" i="6"/>
  <c r="T24" i="6"/>
  <c r="T25" i="6"/>
  <c r="T26" i="6"/>
  <c r="T27" i="6"/>
  <c r="T28" i="6"/>
  <c r="T29" i="6"/>
  <c r="T30" i="6"/>
  <c r="T31" i="6"/>
  <c r="P8" i="6"/>
  <c r="P9" i="6"/>
  <c r="P10" i="6"/>
  <c r="P11" i="6"/>
  <c r="P12" i="6"/>
  <c r="P13" i="6"/>
  <c r="P14" i="6"/>
  <c r="P15" i="6"/>
  <c r="P16" i="6"/>
  <c r="P17" i="6"/>
  <c r="P18" i="6"/>
  <c r="P19" i="6"/>
  <c r="P20" i="6"/>
  <c r="P21" i="6"/>
  <c r="P22" i="6"/>
  <c r="P23" i="6"/>
  <c r="P24" i="6"/>
  <c r="P25" i="6"/>
  <c r="P26" i="6"/>
  <c r="P27" i="6"/>
  <c r="P28" i="6"/>
  <c r="P29" i="6"/>
  <c r="P30" i="6"/>
  <c r="P31" i="6"/>
  <c r="L8" i="6"/>
  <c r="L9" i="6"/>
  <c r="C9" i="6" s="1"/>
  <c r="L10" i="6"/>
  <c r="L11" i="6"/>
  <c r="C11" i="6" s="1"/>
  <c r="L12" i="6"/>
  <c r="L13" i="6"/>
  <c r="L14" i="6"/>
  <c r="L15" i="6"/>
  <c r="L16" i="6"/>
  <c r="L17" i="6"/>
  <c r="C17" i="6" s="1"/>
  <c r="L18" i="6"/>
  <c r="L19" i="6"/>
  <c r="C19" i="6" s="1"/>
  <c r="L20" i="6"/>
  <c r="L21" i="6"/>
  <c r="L22" i="6"/>
  <c r="L23" i="6"/>
  <c r="L24" i="6"/>
  <c r="L25" i="6"/>
  <c r="C25" i="6" s="1"/>
  <c r="L26" i="6"/>
  <c r="L27" i="6"/>
  <c r="C27" i="6" s="1"/>
  <c r="L28" i="6"/>
  <c r="L29" i="6"/>
  <c r="L30" i="6"/>
  <c r="L31" i="6"/>
  <c r="L4" i="6"/>
  <c r="L5" i="6"/>
  <c r="P5" i="6"/>
  <c r="T5" i="6"/>
  <c r="L6" i="6"/>
  <c r="L7" i="6"/>
  <c r="P7" i="6"/>
  <c r="T7" i="6"/>
  <c r="L3" i="6"/>
  <c r="T4" i="6"/>
  <c r="T6" i="6"/>
  <c r="T3" i="6"/>
  <c r="P3" i="6"/>
  <c r="P4" i="6"/>
  <c r="P6" i="6"/>
  <c r="E7" i="7" l="1"/>
  <c r="C24" i="6"/>
  <c r="C16" i="6"/>
  <c r="G39" i="6" s="1"/>
  <c r="C39" i="6" s="1"/>
  <c r="C8" i="6"/>
  <c r="C23" i="6"/>
  <c r="C15" i="6"/>
  <c r="E15" i="6" s="1"/>
  <c r="C29" i="6"/>
  <c r="C13" i="6"/>
  <c r="C6" i="6"/>
  <c r="G44" i="6" s="1"/>
  <c r="C28" i="6"/>
  <c r="C20" i="6"/>
  <c r="C12" i="6"/>
  <c r="C5" i="6"/>
  <c r="C31" i="6"/>
  <c r="C7" i="6"/>
  <c r="C21" i="6"/>
  <c r="J7" i="7"/>
  <c r="E13" i="7"/>
  <c r="C17" i="7"/>
  <c r="E21" i="7"/>
  <c r="C25" i="7"/>
  <c r="E29" i="7"/>
  <c r="I8" i="7"/>
  <c r="I6" i="7"/>
  <c r="C5" i="7"/>
  <c r="C9" i="7"/>
  <c r="C13" i="7"/>
  <c r="E17" i="7"/>
  <c r="C21" i="7"/>
  <c r="E25" i="7"/>
  <c r="C29" i="7"/>
  <c r="I9" i="7"/>
  <c r="I7" i="7"/>
  <c r="J6" i="7"/>
  <c r="E4" i="7"/>
  <c r="E3" i="7"/>
  <c r="H16" i="11"/>
  <c r="B12" i="11"/>
  <c r="B20" i="11"/>
  <c r="B24" i="11"/>
  <c r="B28" i="11"/>
  <c r="B8" i="11"/>
  <c r="B4" i="11"/>
  <c r="H30" i="11"/>
  <c r="H26" i="11"/>
  <c r="H22" i="11"/>
  <c r="H18" i="11"/>
  <c r="H14" i="11"/>
  <c r="H10" i="11"/>
  <c r="H6" i="11"/>
  <c r="B10" i="11"/>
  <c r="B16" i="11"/>
  <c r="B15" i="11"/>
  <c r="B19" i="11"/>
  <c r="B23" i="11"/>
  <c r="B27" i="11"/>
  <c r="B31" i="11"/>
  <c r="B9" i="11"/>
  <c r="B5" i="11"/>
  <c r="H29" i="11"/>
  <c r="H25" i="11"/>
  <c r="H21" i="11"/>
  <c r="H17" i="11"/>
  <c r="H13" i="11"/>
  <c r="H9" i="11"/>
  <c r="H5" i="11"/>
  <c r="I31" i="11"/>
  <c r="I29" i="11"/>
  <c r="I27" i="11"/>
  <c r="I25" i="11"/>
  <c r="I23" i="11"/>
  <c r="I21" i="11"/>
  <c r="I19" i="11"/>
  <c r="I17" i="11"/>
  <c r="I15" i="11"/>
  <c r="I13" i="11"/>
  <c r="I11" i="11"/>
  <c r="I9" i="11"/>
  <c r="I7" i="11"/>
  <c r="I5" i="11"/>
  <c r="B6" i="11"/>
  <c r="H24" i="11"/>
  <c r="H20" i="11"/>
  <c r="B13" i="11"/>
  <c r="B17" i="11"/>
  <c r="B21" i="11"/>
  <c r="B25" i="11"/>
  <c r="B29" i="11"/>
  <c r="B11" i="11"/>
  <c r="B7" i="11"/>
  <c r="B3" i="11"/>
  <c r="H31" i="11"/>
  <c r="H27" i="11"/>
  <c r="H23" i="11"/>
  <c r="H19" i="11"/>
  <c r="H15" i="11"/>
  <c r="H11" i="11"/>
  <c r="H7" i="11"/>
  <c r="H3" i="11"/>
  <c r="I30" i="11"/>
  <c r="I28" i="11"/>
  <c r="I26" i="11"/>
  <c r="I24" i="11"/>
  <c r="I22" i="11"/>
  <c r="I20" i="11"/>
  <c r="I18" i="11"/>
  <c r="I16" i="11"/>
  <c r="I14" i="11"/>
  <c r="I12" i="11"/>
  <c r="I10" i="11"/>
  <c r="I8" i="11"/>
  <c r="I6" i="11"/>
  <c r="I4" i="11"/>
  <c r="B13" i="10"/>
  <c r="B31" i="10"/>
  <c r="B29" i="10"/>
  <c r="B27" i="10"/>
  <c r="B25" i="10"/>
  <c r="B23" i="10"/>
  <c r="B21" i="10"/>
  <c r="B19" i="10"/>
  <c r="B17" i="10"/>
  <c r="B3" i="10"/>
  <c r="H30" i="10"/>
  <c r="H26" i="10"/>
  <c r="H22" i="10"/>
  <c r="H18" i="10"/>
  <c r="H14" i="10"/>
  <c r="H10" i="10"/>
  <c r="H6" i="10"/>
  <c r="H3" i="10"/>
  <c r="I28" i="10"/>
  <c r="I24" i="10"/>
  <c r="I20" i="10"/>
  <c r="I16" i="10"/>
  <c r="I12" i="10"/>
  <c r="I8" i="10"/>
  <c r="I7" i="10"/>
  <c r="I4" i="10"/>
  <c r="B14" i="10"/>
  <c r="B12" i="10"/>
  <c r="B10" i="10"/>
  <c r="B8" i="10"/>
  <c r="B6" i="10"/>
  <c r="B4" i="10"/>
  <c r="H29" i="10"/>
  <c r="H25" i="10"/>
  <c r="H21" i="10"/>
  <c r="H17" i="10"/>
  <c r="H13" i="10"/>
  <c r="H9" i="10"/>
  <c r="H5" i="10"/>
  <c r="I31" i="10"/>
  <c r="I27" i="10"/>
  <c r="I23" i="10"/>
  <c r="I19" i="10"/>
  <c r="I15" i="10"/>
  <c r="I11" i="10"/>
  <c r="B30" i="10"/>
  <c r="B28" i="10"/>
  <c r="B26" i="10"/>
  <c r="B24" i="10"/>
  <c r="B22" i="10"/>
  <c r="B20" i="10"/>
  <c r="B18" i="10"/>
  <c r="B16" i="10"/>
  <c r="H28" i="10"/>
  <c r="H24" i="10"/>
  <c r="H20" i="10"/>
  <c r="H16" i="10"/>
  <c r="H12" i="10"/>
  <c r="H8" i="10"/>
  <c r="H4" i="10"/>
  <c r="I30" i="10"/>
  <c r="I26" i="10"/>
  <c r="I22" i="10"/>
  <c r="I18" i="10"/>
  <c r="I14" i="10"/>
  <c r="I10" i="10"/>
  <c r="I6" i="10"/>
  <c r="B15" i="10"/>
  <c r="B11" i="10"/>
  <c r="B9" i="10"/>
  <c r="B7" i="10"/>
  <c r="B5" i="10"/>
  <c r="H31" i="10"/>
  <c r="H27" i="10"/>
  <c r="H23" i="10"/>
  <c r="H19" i="10"/>
  <c r="H15" i="10"/>
  <c r="H11" i="10"/>
  <c r="I29" i="10"/>
  <c r="I25" i="10"/>
  <c r="I21" i="10"/>
  <c r="I17" i="10"/>
  <c r="I13" i="10"/>
  <c r="I9" i="10"/>
  <c r="I5" i="10"/>
  <c r="C4" i="6"/>
  <c r="C30" i="6"/>
  <c r="C26" i="6"/>
  <c r="C22" i="6"/>
  <c r="C18" i="6"/>
  <c r="C14" i="6"/>
  <c r="C10" i="6"/>
  <c r="I28" i="6"/>
  <c r="I24" i="6"/>
  <c r="I20" i="6"/>
  <c r="I16" i="6"/>
  <c r="I12" i="6"/>
  <c r="I8" i="6"/>
  <c r="I4" i="6"/>
  <c r="I31" i="6"/>
  <c r="I27" i="6"/>
  <c r="I23" i="6"/>
  <c r="I19" i="6"/>
  <c r="I15" i="6"/>
  <c r="I11" i="6"/>
  <c r="I7" i="6"/>
  <c r="I3" i="6"/>
  <c r="J30" i="6"/>
  <c r="J28" i="6"/>
  <c r="J26" i="6"/>
  <c r="J24" i="6"/>
  <c r="J22" i="6"/>
  <c r="J20" i="6"/>
  <c r="J18" i="6"/>
  <c r="J16" i="6"/>
  <c r="J14" i="6"/>
  <c r="J12" i="6"/>
  <c r="J10" i="6"/>
  <c r="J8" i="6"/>
  <c r="J6" i="6"/>
  <c r="J4" i="6"/>
  <c r="I30" i="6"/>
  <c r="I26" i="6"/>
  <c r="I22" i="6"/>
  <c r="I18" i="6"/>
  <c r="I14" i="6"/>
  <c r="I10" i="6"/>
  <c r="I6" i="6"/>
  <c r="C3" i="6"/>
  <c r="I29" i="6"/>
  <c r="I25" i="6"/>
  <c r="I21" i="6"/>
  <c r="I17" i="6"/>
  <c r="I13" i="6"/>
  <c r="I9" i="6"/>
  <c r="I5" i="6"/>
  <c r="J31" i="6"/>
  <c r="J29" i="6"/>
  <c r="J27" i="6"/>
  <c r="J25" i="6"/>
  <c r="J23" i="6"/>
  <c r="J21" i="6"/>
  <c r="J19" i="6"/>
  <c r="J17" i="6"/>
  <c r="J15" i="6"/>
  <c r="J13" i="6"/>
  <c r="J11" i="6"/>
  <c r="J9" i="6"/>
  <c r="J7" i="6"/>
  <c r="J5" i="6"/>
  <c r="J3" i="6"/>
  <c r="C12" i="7"/>
  <c r="C20" i="7"/>
  <c r="C24" i="7"/>
  <c r="C28" i="7"/>
  <c r="C11" i="7"/>
  <c r="C15" i="7"/>
  <c r="C19" i="7"/>
  <c r="C23" i="7"/>
  <c r="C27" i="7"/>
  <c r="C31" i="7"/>
  <c r="I28" i="7"/>
  <c r="I24" i="7"/>
  <c r="I20" i="7"/>
  <c r="I16" i="7"/>
  <c r="I12" i="7"/>
  <c r="C10" i="7"/>
  <c r="C14" i="7"/>
  <c r="C18" i="7"/>
  <c r="C22" i="7"/>
  <c r="C26" i="7"/>
  <c r="C30" i="7"/>
  <c r="I31" i="7"/>
  <c r="I27" i="7"/>
  <c r="I23" i="7"/>
  <c r="I19" i="7"/>
  <c r="I15" i="7"/>
  <c r="I11" i="7"/>
  <c r="J31" i="7"/>
  <c r="J29" i="7"/>
  <c r="J27" i="7"/>
  <c r="J25" i="7"/>
  <c r="J23" i="7"/>
  <c r="J21" i="7"/>
  <c r="J19" i="7"/>
  <c r="J17" i="7"/>
  <c r="J15" i="7"/>
  <c r="J13" i="7"/>
  <c r="J11" i="7"/>
  <c r="I30" i="7"/>
  <c r="I26" i="7"/>
  <c r="I22" i="7"/>
  <c r="I18" i="7"/>
  <c r="I14" i="7"/>
  <c r="I10" i="7"/>
  <c r="I5" i="7"/>
  <c r="I4" i="7"/>
  <c r="C16" i="7"/>
  <c r="I29" i="7"/>
  <c r="I25" i="7"/>
  <c r="I21" i="7"/>
  <c r="I17" i="7"/>
  <c r="I13" i="7"/>
  <c r="J30" i="7"/>
  <c r="J28" i="7"/>
  <c r="J26" i="7"/>
  <c r="J24" i="7"/>
  <c r="J22" i="7"/>
  <c r="J20" i="7"/>
  <c r="J18" i="7"/>
  <c r="J16" i="7"/>
  <c r="J14" i="7"/>
  <c r="J12" i="7"/>
  <c r="J10" i="7"/>
  <c r="J9" i="7"/>
  <c r="J5" i="7"/>
  <c r="I3" i="7"/>
  <c r="L1" i="12"/>
  <c r="H1" i="12"/>
  <c r="J8" i="7"/>
  <c r="J4" i="7"/>
  <c r="C4" i="7"/>
  <c r="C6" i="7"/>
  <c r="C8" i="7"/>
  <c r="E8" i="7" s="1"/>
  <c r="J3" i="7"/>
  <c r="C3" i="7"/>
  <c r="H7" i="10"/>
  <c r="I3" i="11"/>
  <c r="M1" i="12"/>
  <c r="I1" i="12"/>
  <c r="A25" i="8"/>
  <c r="H1" i="8"/>
  <c r="B45" i="10"/>
  <c r="B11" i="12" s="1"/>
  <c r="B45" i="11"/>
  <c r="B23" i="12" s="1"/>
  <c r="A25" i="12"/>
  <c r="F43" i="10"/>
  <c r="B43" i="10" s="1"/>
  <c r="B9" i="12" s="1"/>
  <c r="G43" i="6"/>
  <c r="C43" i="6" s="1"/>
  <c r="B21" i="8" s="1"/>
  <c r="G42" i="6"/>
  <c r="C42" i="6" s="1"/>
  <c r="G38" i="6"/>
  <c r="G41" i="6"/>
  <c r="G37" i="6"/>
  <c r="F44" i="11"/>
  <c r="B44" i="11" s="1"/>
  <c r="F37" i="11"/>
  <c r="B37" i="11" s="1"/>
  <c r="F41" i="11"/>
  <c r="B41" i="11" s="1"/>
  <c r="B19" i="12" s="1"/>
  <c r="F38" i="11"/>
  <c r="D16" i="12" s="1"/>
  <c r="F42" i="11"/>
  <c r="B42" i="11" s="1"/>
  <c r="F39" i="10"/>
  <c r="B39" i="10" s="1"/>
  <c r="B5" i="12" s="1"/>
  <c r="F39" i="11"/>
  <c r="B39" i="11" s="1"/>
  <c r="F43" i="11"/>
  <c r="B43" i="11" s="1"/>
  <c r="F40" i="11"/>
  <c r="B40" i="11" s="1"/>
  <c r="B18" i="12" s="1"/>
  <c r="F37" i="10"/>
  <c r="F41" i="10"/>
  <c r="F42" i="10"/>
  <c r="B42" i="10" s="1"/>
  <c r="F40" i="10"/>
  <c r="F44" i="10"/>
  <c r="B44" i="10" s="1"/>
  <c r="G44" i="7"/>
  <c r="G37" i="7"/>
  <c r="G41" i="7"/>
  <c r="C41" i="7" s="1"/>
  <c r="G38" i="7"/>
  <c r="G42" i="7"/>
  <c r="C42" i="7" s="1"/>
  <c r="G43" i="7"/>
  <c r="C43" i="7" s="1"/>
  <c r="A28" i="8"/>
  <c r="I1" i="8"/>
  <c r="M1" i="8"/>
  <c r="G40" i="6" l="1"/>
  <c r="C40" i="6" s="1"/>
  <c r="B18" i="8" s="1"/>
  <c r="C38" i="6"/>
  <c r="B16" i="8" s="1"/>
  <c r="C41" i="6"/>
  <c r="B19" i="8" s="1"/>
  <c r="C45" i="6"/>
  <c r="B23" i="8" s="1"/>
  <c r="C37" i="6"/>
  <c r="B15" i="8" s="1"/>
  <c r="C36" i="6"/>
  <c r="B14" i="8" s="1"/>
  <c r="C36" i="7"/>
  <c r="B2" i="8" s="1"/>
  <c r="B34" i="11"/>
  <c r="B34" i="10"/>
  <c r="B35" i="11"/>
  <c r="I34" i="11" s="1"/>
  <c r="I35" i="11" s="1"/>
  <c r="D19" i="12"/>
  <c r="B38" i="11"/>
  <c r="B16" i="12" s="1"/>
  <c r="C38" i="7"/>
  <c r="B4" i="8" s="1"/>
  <c r="B15" i="12"/>
  <c r="D15" i="12"/>
  <c r="C34" i="6"/>
  <c r="D21" i="8"/>
  <c r="D9" i="12"/>
  <c r="B2" i="12"/>
  <c r="I11" i="12" s="1"/>
  <c r="C34" i="7"/>
  <c r="C35" i="6"/>
  <c r="J34" i="6" s="1"/>
  <c r="J35" i="6" s="1"/>
  <c r="D16" i="8"/>
  <c r="C35" i="7"/>
  <c r="J34" i="7" s="1"/>
  <c r="J35" i="7" s="1"/>
  <c r="J36" i="7" s="1"/>
  <c r="J41" i="7" s="1"/>
  <c r="G39" i="7"/>
  <c r="C39" i="7" s="1"/>
  <c r="B5" i="8" s="1"/>
  <c r="F38" i="10"/>
  <c r="D4" i="12" s="1"/>
  <c r="B41" i="10"/>
  <c r="B7" i="12" s="1"/>
  <c r="D18" i="12"/>
  <c r="B40" i="10"/>
  <c r="B6" i="12" s="1"/>
  <c r="B35" i="10"/>
  <c r="I34" i="10" s="1"/>
  <c r="I35" i="10" s="1"/>
  <c r="B37" i="10"/>
  <c r="B3" i="12" s="1"/>
  <c r="C44" i="6"/>
  <c r="B22" i="8" s="1"/>
  <c r="D22" i="8"/>
  <c r="D6" i="12"/>
  <c r="D10" i="12"/>
  <c r="C44" i="7"/>
  <c r="B10" i="8" s="1"/>
  <c r="D3" i="8"/>
  <c r="C37" i="7"/>
  <c r="B3" i="8" s="1"/>
  <c r="C45" i="7"/>
  <c r="B11" i="8" s="1"/>
  <c r="G40" i="7"/>
  <c r="D10" i="8"/>
  <c r="D8" i="8"/>
  <c r="B8" i="8"/>
  <c r="D4" i="8"/>
  <c r="D7" i="8"/>
  <c r="B7" i="8"/>
  <c r="D9" i="8"/>
  <c r="B9" i="8"/>
  <c r="B10" i="12"/>
  <c r="D5" i="12"/>
  <c r="B14" i="12"/>
  <c r="D3" i="12"/>
  <c r="D7" i="12"/>
  <c r="D8" i="12"/>
  <c r="B8" i="12"/>
  <c r="D20" i="8"/>
  <c r="B20" i="8"/>
  <c r="D19" i="8"/>
  <c r="D22" i="12"/>
  <c r="B22" i="12"/>
  <c r="D15" i="8"/>
  <c r="D17" i="12"/>
  <c r="B17" i="12"/>
  <c r="B17" i="8"/>
  <c r="D17" i="8"/>
  <c r="I36" i="11"/>
  <c r="I41" i="11" s="1"/>
  <c r="D20" i="12"/>
  <c r="B20" i="12"/>
  <c r="D21" i="12"/>
  <c r="B21" i="12"/>
  <c r="D18" i="8" l="1"/>
  <c r="H11" i="8"/>
  <c r="I40" i="11"/>
  <c r="I40" i="10"/>
  <c r="H2" i="12"/>
  <c r="I2" i="12"/>
  <c r="H11" i="12"/>
  <c r="H9" i="12"/>
  <c r="H5" i="12"/>
  <c r="I11" i="8"/>
  <c r="I8" i="12"/>
  <c r="H8" i="12"/>
  <c r="I7" i="12"/>
  <c r="H7" i="12"/>
  <c r="I9" i="12"/>
  <c r="I5" i="12"/>
  <c r="I10" i="12"/>
  <c r="H10" i="12"/>
  <c r="H6" i="12"/>
  <c r="I6" i="12"/>
  <c r="I3" i="12"/>
  <c r="H3" i="12"/>
  <c r="J40" i="6"/>
  <c r="J40" i="7"/>
  <c r="J36" i="6"/>
  <c r="J41" i="6" s="1"/>
  <c r="D5" i="8"/>
  <c r="H5" i="8" s="1"/>
  <c r="B38" i="10"/>
  <c r="B4" i="12" s="1"/>
  <c r="I2" i="8"/>
  <c r="H2" i="8"/>
  <c r="I36" i="10"/>
  <c r="I41" i="10" s="1"/>
  <c r="H10" i="8"/>
  <c r="D6" i="8"/>
  <c r="C40" i="7"/>
  <c r="B6" i="8" s="1"/>
  <c r="I3" i="8"/>
  <c r="I10" i="8"/>
  <c r="H9" i="8"/>
  <c r="I9" i="8"/>
  <c r="H4" i="8"/>
  <c r="I4" i="8"/>
  <c r="H3" i="8"/>
  <c r="I8" i="8"/>
  <c r="H8" i="8"/>
  <c r="H7" i="8"/>
  <c r="I7" i="8"/>
  <c r="M2" i="12" l="1"/>
  <c r="L2" i="12"/>
  <c r="J2" i="12"/>
  <c r="K2" i="12" s="1"/>
  <c r="M6" i="12"/>
  <c r="J11" i="12"/>
  <c r="K11" i="12" s="1"/>
  <c r="M11" i="12"/>
  <c r="L11" i="12"/>
  <c r="J11" i="8"/>
  <c r="K11" i="8" s="1"/>
  <c r="L11" i="8" s="1"/>
  <c r="M5" i="12"/>
  <c r="M9" i="12"/>
  <c r="M3" i="12"/>
  <c r="Q28" i="12" s="1"/>
  <c r="M10" i="12"/>
  <c r="Q24" i="12" s="1"/>
  <c r="M7" i="12"/>
  <c r="Q23" i="12" s="1"/>
  <c r="I4" i="12"/>
  <c r="H4" i="12"/>
  <c r="J8" i="12"/>
  <c r="K8" i="12" s="1"/>
  <c r="L8" i="12"/>
  <c r="L6" i="12"/>
  <c r="J6" i="12"/>
  <c r="K6" i="12" s="1"/>
  <c r="M8" i="12"/>
  <c r="J9" i="12"/>
  <c r="K9" i="12" s="1"/>
  <c r="L9" i="12" s="1"/>
  <c r="I5" i="8"/>
  <c r="J3" i="12"/>
  <c r="K3" i="12" s="1"/>
  <c r="L3" i="12" s="1"/>
  <c r="L10" i="12"/>
  <c r="J10" i="12"/>
  <c r="K10" i="12" s="1"/>
  <c r="L7" i="12"/>
  <c r="Q5" i="12" s="1"/>
  <c r="J7" i="12"/>
  <c r="K7" i="12" s="1"/>
  <c r="J5" i="12"/>
  <c r="K5" i="12" s="1"/>
  <c r="L5" i="12"/>
  <c r="J2" i="8"/>
  <c r="K2" i="8" s="1"/>
  <c r="M2" i="8" s="1"/>
  <c r="J10" i="8"/>
  <c r="K10" i="8" s="1"/>
  <c r="L10" i="8" s="1"/>
  <c r="I6" i="8"/>
  <c r="J3" i="8"/>
  <c r="K3" i="8" s="1"/>
  <c r="L3" i="8" s="1"/>
  <c r="H6" i="8"/>
  <c r="M10" i="8"/>
  <c r="L9" i="8"/>
  <c r="J9" i="8"/>
  <c r="K9" i="8" s="1"/>
  <c r="M9" i="8"/>
  <c r="J4" i="8"/>
  <c r="K4" i="8" s="1"/>
  <c r="L4" i="8" s="1"/>
  <c r="M8" i="8"/>
  <c r="L8" i="8"/>
  <c r="J8" i="8"/>
  <c r="K8" i="8" s="1"/>
  <c r="L7" i="8"/>
  <c r="Q5" i="8" s="1"/>
  <c r="J7" i="8"/>
  <c r="K7" i="8" s="1"/>
  <c r="M7" i="8" s="1"/>
  <c r="Q23" i="8" s="1"/>
  <c r="M4" i="8" l="1"/>
  <c r="Q29" i="8" s="1"/>
  <c r="M3" i="8"/>
  <c r="Q28" i="8" s="1"/>
  <c r="M11" i="8"/>
  <c r="L2" i="8"/>
  <c r="J5" i="8"/>
  <c r="K5" i="8" s="1"/>
  <c r="M5" i="8" s="1"/>
  <c r="Q25" i="12"/>
  <c r="Q35" i="12"/>
  <c r="Q6" i="12"/>
  <c r="Q7" i="12"/>
  <c r="Q10" i="12"/>
  <c r="J4" i="12"/>
  <c r="K4" i="12" s="1"/>
  <c r="L4" i="12" s="1"/>
  <c r="Q11" i="12" s="1"/>
  <c r="Q17" i="12"/>
  <c r="Q10" i="8"/>
  <c r="Q24" i="8"/>
  <c r="Q25" i="8"/>
  <c r="Q11" i="8"/>
  <c r="Q6" i="8"/>
  <c r="Q7" i="8"/>
  <c r="M6" i="8"/>
  <c r="J6" i="8"/>
  <c r="K6" i="8" s="1"/>
  <c r="L6" i="8"/>
  <c r="L5" i="8" l="1"/>
  <c r="M4" i="12"/>
  <c r="Q29" i="12" s="1"/>
  <c r="Q16" i="12"/>
  <c r="L21" i="12"/>
  <c r="L26" i="12" s="1"/>
  <c r="Q34" i="8"/>
  <c r="Q35" i="8"/>
  <c r="M21" i="8" s="1"/>
  <c r="M26" i="8" s="1"/>
  <c r="Q16" i="8"/>
  <c r="Q17" i="8"/>
  <c r="Q34" i="12" l="1"/>
  <c r="M21" i="12"/>
  <c r="M26" i="12" s="1"/>
  <c r="L27" i="12" s="1"/>
  <c r="L21" i="8"/>
  <c r="L26" i="8" s="1"/>
  <c r="L27" i="8" s="1"/>
  <c r="M27" i="12" l="1"/>
  <c r="S33" i="12" s="1"/>
  <c r="M27" i="8"/>
  <c r="M29" i="8" s="1"/>
  <c r="R15" i="12" l="1"/>
  <c r="M29" i="12"/>
  <c r="T21" i="12"/>
  <c r="T26" i="12"/>
  <c r="T8" i="12"/>
  <c r="M28" i="12"/>
  <c r="R33" i="12"/>
  <c r="S15" i="12"/>
  <c r="L28" i="12"/>
  <c r="T3" i="12"/>
  <c r="L29" i="12"/>
  <c r="L29" i="8"/>
  <c r="T26" i="8"/>
  <c r="S33" i="8"/>
  <c r="R15" i="8"/>
  <c r="T8" i="8"/>
  <c r="T3" i="8"/>
  <c r="R33" i="8"/>
  <c r="T21" i="8"/>
  <c r="S15" i="8"/>
  <c r="M28" i="8" l="1"/>
  <c r="L28" i="8"/>
</calcChain>
</file>

<file path=xl/sharedStrings.xml><?xml version="1.0" encoding="utf-8"?>
<sst xmlns="http://schemas.openxmlformats.org/spreadsheetml/2006/main" count="2331" uniqueCount="434">
  <si>
    <t>Element</t>
  </si>
  <si>
    <t>TS</t>
  </si>
  <si>
    <t>Class</t>
  </si>
  <si>
    <t>Wt</t>
  </si>
  <si>
    <t>Mob</t>
  </si>
  <si>
    <t>Raise</t>
  </si>
  <si>
    <t>Maint</t>
  </si>
  <si>
    <t>TL</t>
  </si>
  <si>
    <t>Equipment Quality</t>
  </si>
  <si>
    <t>Troop Quality</t>
  </si>
  <si>
    <t>Equip Raise mod</t>
  </si>
  <si>
    <t>Equip Maint mod</t>
  </si>
  <si>
    <t>Equip TS mod</t>
  </si>
  <si>
    <t>Troop TS mod</t>
  </si>
  <si>
    <t>Troop Raise mod</t>
  </si>
  <si>
    <t>Troop Maint mod</t>
  </si>
  <si>
    <t>TL mod</t>
  </si>
  <si>
    <t>Riflemen</t>
  </si>
  <si>
    <t>F, Rec</t>
  </si>
  <si>
    <t>Foot</t>
  </si>
  <si>
    <t>Heavy Truck</t>
  </si>
  <si>
    <t>T2</t>
  </si>
  <si>
    <t>Motor</t>
  </si>
  <si>
    <t>Antitank Gun</t>
  </si>
  <si>
    <t>(Arm)</t>
  </si>
  <si>
    <t>APC</t>
  </si>
  <si>
    <t>Arm, Cv, F, T1</t>
  </si>
  <si>
    <t>Mech</t>
  </si>
  <si>
    <t>Armored Car</t>
  </si>
  <si>
    <t>Arm, Cv, F, Rec</t>
  </si>
  <si>
    <t>Assault Gun</t>
  </si>
  <si>
    <t>Arm, Art</t>
  </si>
  <si>
    <t>ATGM</t>
  </si>
  <si>
    <t>Battlesuits</t>
  </si>
  <si>
    <t>(Air), (Arm), F, Rec</t>
  </si>
  <si>
    <t>CEV</t>
  </si>
  <si>
    <t>Arm, Eng</t>
  </si>
  <si>
    <t>Combat Engineers</t>
  </si>
  <si>
    <t>Eng, F</t>
  </si>
  <si>
    <t>Command Post</t>
  </si>
  <si>
    <t>C3I</t>
  </si>
  <si>
    <t>Draft Team</t>
  </si>
  <si>
    <t>Mtd</t>
  </si>
  <si>
    <t>Heavy AAA</t>
  </si>
  <si>
    <t>(Air), (Arm)</t>
  </si>
  <si>
    <t>Heavy Artillery</t>
  </si>
  <si>
    <t>Art</t>
  </si>
  <si>
    <t>Heavy Tank</t>
  </si>
  <si>
    <t>Arm, F</t>
  </si>
  <si>
    <t>HSW</t>
  </si>
  <si>
    <t>F</t>
  </si>
  <si>
    <t>IFV</t>
  </si>
  <si>
    <t>Large APC</t>
  </si>
  <si>
    <t>Arm, Cv, F, T2</t>
  </si>
  <si>
    <t>Light AAA</t>
  </si>
  <si>
    <t>(Air), F</t>
  </si>
  <si>
    <t>Support</t>
  </si>
  <si>
    <t>Light Artillery</t>
  </si>
  <si>
    <t>Light Tank</t>
  </si>
  <si>
    <t>Light Truck</t>
  </si>
  <si>
    <t>Cv, T1</t>
  </si>
  <si>
    <t>MANPAD</t>
  </si>
  <si>
    <t>(Air)</t>
  </si>
  <si>
    <t>MBT</t>
  </si>
  <si>
    <t>Arm, Cv, F</t>
  </si>
  <si>
    <t>Medium Tank</t>
  </si>
  <si>
    <t>Mobile SAM</t>
  </si>
  <si>
    <t>Mortar Team</t>
  </si>
  <si>
    <t>Motor ATGM</t>
  </si>
  <si>
    <t>(Arm), Cv</t>
  </si>
  <si>
    <t>Motor Recon</t>
  </si>
  <si>
    <t>Cv, F, Rec</t>
  </si>
  <si>
    <t>Mounted Rifles</t>
  </si>
  <si>
    <t>SP AAA</t>
  </si>
  <si>
    <t>SP Artillery</t>
  </si>
  <si>
    <t>SP Mortar</t>
  </si>
  <si>
    <t>Super Tank</t>
  </si>
  <si>
    <t>Arm, Art, Cv, C3I, F</t>
  </si>
  <si>
    <t>TAD</t>
  </si>
  <si>
    <t>Troop Carrier</t>
  </si>
  <si>
    <t>Cv, F, T1</t>
  </si>
  <si>
    <t>Capital Ship</t>
  </si>
  <si>
    <t>Nav, Art, T4</t>
  </si>
  <si>
    <t>Sea</t>
  </si>
  <si>
    <t>Carrier</t>
  </si>
  <si>
    <t>Nav, Art, T8</t>
  </si>
  <si>
    <t>Escort Ship</t>
  </si>
  <si>
    <t>Nav, Art, T2</t>
  </si>
  <si>
    <t>Fast Attack Boat</t>
  </si>
  <si>
    <t>(Nav)</t>
  </si>
  <si>
    <t>Coast</t>
  </si>
  <si>
    <t>Guided-Missile Escort</t>
  </si>
  <si>
    <t>Nav, (Air), T2</t>
  </si>
  <si>
    <t>Landing Craft</t>
  </si>
  <si>
    <t>Gunboat</t>
  </si>
  <si>
    <t>(Nav), Art, T2</t>
  </si>
  <si>
    <t>T8</t>
  </si>
  <si>
    <t>Nuclear Submarine</t>
  </si>
  <si>
    <t>Nav, T1</t>
  </si>
  <si>
    <t>Submarine</t>
  </si>
  <si>
    <t>AEW</t>
  </si>
  <si>
    <t>-</t>
  </si>
  <si>
    <t>FA</t>
  </si>
  <si>
    <t>Airship</t>
  </si>
  <si>
    <t>SA</t>
  </si>
  <si>
    <t>CAS Aircraft</t>
  </si>
  <si>
    <t>Air</t>
  </si>
  <si>
    <t>Drop Ship</t>
  </si>
  <si>
    <t>Air, T5</t>
  </si>
  <si>
    <t>Flying APC</t>
  </si>
  <si>
    <t>Air, Arm, Cv, F, T1</t>
  </si>
  <si>
    <t>Flying Battleship</t>
  </si>
  <si>
    <t>Air, Nav</t>
  </si>
  <si>
    <t>Flying Battlesuits</t>
  </si>
  <si>
    <t>Air, (Arm), F, Rec</t>
  </si>
  <si>
    <t>Flying Tank</t>
  </si>
  <si>
    <t>Air, Arm, Cv, F</t>
  </si>
  <si>
    <t>Heavy Lift Aircraft</t>
  </si>
  <si>
    <t>T9</t>
  </si>
  <si>
    <t>Jet Bomber</t>
  </si>
  <si>
    <t>Jet Fighter</t>
  </si>
  <si>
    <t>Jet Fighter-Bomber</t>
  </si>
  <si>
    <t>Medium Lift Aircraft</t>
  </si>
  <si>
    <t>T3</t>
  </si>
  <si>
    <t>MILSAT</t>
  </si>
  <si>
    <t>PE Bomber</t>
  </si>
  <si>
    <t>PE Fighter</t>
  </si>
  <si>
    <t>PE Fighter-Bomber</t>
  </si>
  <si>
    <t>Scout Aircraft</t>
  </si>
  <si>
    <t>Sky Troopers</t>
  </si>
  <si>
    <t>Utility Aircraft</t>
  </si>
  <si>
    <t>Air, T1</t>
  </si>
  <si>
    <t>Quality</t>
  </si>
  <si>
    <t>TS modifier</t>
  </si>
  <si>
    <t>Maintain</t>
  </si>
  <si>
    <t>Very Fine</t>
  </si>
  <si>
    <t>Fine</t>
  </si>
  <si>
    <t>Good</t>
  </si>
  <si>
    <t>Basic</t>
  </si>
  <si>
    <t>Poor</t>
  </si>
  <si>
    <t>Elite</t>
  </si>
  <si>
    <t>Average</t>
  </si>
  <si>
    <t>Inferior</t>
  </si>
  <si>
    <t>TL list</t>
  </si>
  <si>
    <t>Total Raise Cost</t>
  </si>
  <si>
    <t>Total Maintenance Cost</t>
  </si>
  <si>
    <t>Total TS</t>
  </si>
  <si>
    <t>Fire TS</t>
  </si>
  <si>
    <t>Cavalry TS</t>
  </si>
  <si>
    <t>Armor TS</t>
  </si>
  <si>
    <t>Air TS</t>
  </si>
  <si>
    <t>Artillery TS</t>
  </si>
  <si>
    <t>Naval TS</t>
  </si>
  <si>
    <t>Engineering TS</t>
  </si>
  <si>
    <t>Command TS</t>
  </si>
  <si>
    <t>Combat Effectivness</t>
  </si>
  <si>
    <t>Number</t>
  </si>
  <si>
    <t>Army 1</t>
  </si>
  <si>
    <t>Army 2</t>
  </si>
  <si>
    <t>Bonus</t>
  </si>
  <si>
    <t>Round to nearest .5</t>
  </si>
  <si>
    <t xml:space="preserve">Class Superiority </t>
  </si>
  <si>
    <t>Total</t>
  </si>
  <si>
    <t>Include</t>
  </si>
  <si>
    <t>Yes</t>
  </si>
  <si>
    <t>No</t>
  </si>
  <si>
    <t>Recon TS</t>
  </si>
  <si>
    <t>Special Quality</t>
  </si>
  <si>
    <t>Airborne</t>
  </si>
  <si>
    <t>All-Weather</t>
  </si>
  <si>
    <t>Disloyal</t>
  </si>
  <si>
    <t>Fanatic</t>
  </si>
  <si>
    <t>Flagship</t>
  </si>
  <si>
    <t>Hero</t>
  </si>
  <si>
    <t>Hovercraft</t>
  </si>
  <si>
    <t>Impetous</t>
  </si>
  <si>
    <t>Levy</t>
  </si>
  <si>
    <t>Marine</t>
  </si>
  <si>
    <t>Mercenary</t>
  </si>
  <si>
    <t>(Art)</t>
  </si>
  <si>
    <t>(C3I)</t>
  </si>
  <si>
    <t>(Rec)</t>
  </si>
  <si>
    <t>Night</t>
  </si>
  <si>
    <t>Nocturnal</t>
  </si>
  <si>
    <t>Day</t>
  </si>
  <si>
    <t>Sealed</t>
  </si>
  <si>
    <t>Super Soldier</t>
  </si>
  <si>
    <t>Terrain (Arctic)</t>
  </si>
  <si>
    <t>Terrain (Desert)</t>
  </si>
  <si>
    <t>Terrain (Jungle)</t>
  </si>
  <si>
    <t>Terrain (Mountain)</t>
  </si>
  <si>
    <t>Terrain (Woodlands)</t>
  </si>
  <si>
    <t>Terrain (Swampland)</t>
  </si>
  <si>
    <t>Special 1</t>
  </si>
  <si>
    <t>Special 2</t>
  </si>
  <si>
    <t>S1 TS</t>
  </si>
  <si>
    <t>S1 R</t>
  </si>
  <si>
    <t>S1 M</t>
  </si>
  <si>
    <t>S2 TS</t>
  </si>
  <si>
    <t>S2 R</t>
  </si>
  <si>
    <t>S2 M</t>
  </si>
  <si>
    <t>Special 3</t>
  </si>
  <si>
    <t xml:space="preserve">S3 TS </t>
  </si>
  <si>
    <t>S3 R</t>
  </si>
  <si>
    <t>S3 M</t>
  </si>
  <si>
    <t>Special 4</t>
  </si>
  <si>
    <t>S4 TS</t>
  </si>
  <si>
    <t>S4 R</t>
  </si>
  <si>
    <t>S4 M</t>
  </si>
  <si>
    <t>Army Name:</t>
  </si>
  <si>
    <t>Balloon</t>
  </si>
  <si>
    <t>Bowmen</t>
  </si>
  <si>
    <t>Cavalry Pistols</t>
  </si>
  <si>
    <t>Cv, F</t>
  </si>
  <si>
    <t>Heavy Cavalry</t>
  </si>
  <si>
    <t>Cv</t>
  </si>
  <si>
    <t>Heavy Chariots</t>
  </si>
  <si>
    <t>Heavy Infantry</t>
  </si>
  <si>
    <t>Horse Archers</t>
  </si>
  <si>
    <t>Horse Artillery</t>
  </si>
  <si>
    <t>Light Cavalry</t>
  </si>
  <si>
    <t>Cv, Rec</t>
  </si>
  <si>
    <t>Light Chariots</t>
  </si>
  <si>
    <t>Light Infantry</t>
  </si>
  <si>
    <t>Rec</t>
  </si>
  <si>
    <t>Medium Cavalry</t>
  </si>
  <si>
    <t>Medium Infantry</t>
  </si>
  <si>
    <t>Miners</t>
  </si>
  <si>
    <t>Eng</t>
  </si>
  <si>
    <t>Mounts</t>
  </si>
  <si>
    <t>T1</t>
  </si>
  <si>
    <t>Musketeers</t>
  </si>
  <si>
    <t>Pikemen</t>
  </si>
  <si>
    <t>(Cv)</t>
  </si>
  <si>
    <t>Skirmishers</t>
  </si>
  <si>
    <t>Stone-Age Warriors</t>
  </si>
  <si>
    <t>War Beast</t>
  </si>
  <si>
    <t>Arm</t>
  </si>
  <si>
    <t>Boat</t>
  </si>
  <si>
    <t>Brig</t>
  </si>
  <si>
    <t>Nav, Art, T6</t>
  </si>
  <si>
    <t>Cog</t>
  </si>
  <si>
    <t>T5</t>
  </si>
  <si>
    <t>Frigate</t>
  </si>
  <si>
    <t>Galleon</t>
  </si>
  <si>
    <t>Large Boat</t>
  </si>
  <si>
    <t>Light Galley</t>
  </si>
  <si>
    <t>Longship</t>
  </si>
  <si>
    <t>T7</t>
  </si>
  <si>
    <t>Merchant Galley</t>
  </si>
  <si>
    <t>Nav, T5</t>
  </si>
  <si>
    <t>Ship-of-the-Line</t>
  </si>
  <si>
    <t>Nav, Art, T10</t>
  </si>
  <si>
    <t>War Galley</t>
  </si>
  <si>
    <t>Nav, T3</t>
  </si>
  <si>
    <t>Amphibious Warriors</t>
  </si>
  <si>
    <t>Nav</t>
  </si>
  <si>
    <t>Coast, Foot</t>
  </si>
  <si>
    <t>Aquatic Warriors</t>
  </si>
  <si>
    <t>Battle Mages</t>
  </si>
  <si>
    <t>Art, C3I, F, Rec</t>
  </si>
  <si>
    <t>Beasts</t>
  </si>
  <si>
    <t>Flying Beasts</t>
  </si>
  <si>
    <t>Flying Cavalry</t>
  </si>
  <si>
    <t>Air, F</t>
  </si>
  <si>
    <t>Flying Infantry</t>
  </si>
  <si>
    <t>Air, Rec</t>
  </si>
  <si>
    <t>Foot, SA</t>
  </si>
  <si>
    <t>Flying Leviathan</t>
  </si>
  <si>
    <t>Air, T10</t>
  </si>
  <si>
    <t>Flying Mages</t>
  </si>
  <si>
    <t>Air, Art, C3I, F, Rec</t>
  </si>
  <si>
    <t>Giant Flying Monster</t>
  </si>
  <si>
    <t>Giant Monster</t>
  </si>
  <si>
    <t>Giants</t>
  </si>
  <si>
    <t>Arm, Art, Eng</t>
  </si>
  <si>
    <t>Laviathan</t>
  </si>
  <si>
    <t>Nav, T10</t>
  </si>
  <si>
    <t>Ogres</t>
  </si>
  <si>
    <t>Sea Monster</t>
  </si>
  <si>
    <t>Titan</t>
  </si>
  <si>
    <t>Defense Bonus</t>
  </si>
  <si>
    <t>Casualties</t>
  </si>
  <si>
    <t>Casualty Penalty</t>
  </si>
  <si>
    <t>Commander Risk</t>
  </si>
  <si>
    <t>Significant Actions Bonus</t>
  </si>
  <si>
    <t>Position Bonus</t>
  </si>
  <si>
    <t>Roll</t>
  </si>
  <si>
    <t>Result</t>
  </si>
  <si>
    <t>Roll Result</t>
  </si>
  <si>
    <t>PB Shift</t>
  </si>
  <si>
    <t>Combat result table</t>
  </si>
  <si>
    <t>Margin</t>
  </si>
  <si>
    <t>PB shift</t>
  </si>
  <si>
    <t>W Cas</t>
  </si>
  <si>
    <t>L Cas</t>
  </si>
  <si>
    <t>Wins by 1</t>
  </si>
  <si>
    <t>Wins by 2</t>
  </si>
  <si>
    <t>Wins by 3</t>
  </si>
  <si>
    <t>Wins by 4</t>
  </si>
  <si>
    <t>Wins by 5</t>
  </si>
  <si>
    <t>Wins by 6</t>
  </si>
  <si>
    <t>Wins by 7</t>
  </si>
  <si>
    <t>Wins by 8</t>
  </si>
  <si>
    <t>Wins by 9</t>
  </si>
  <si>
    <t>Wins by 10</t>
  </si>
  <si>
    <t>Wins by 11</t>
  </si>
  <si>
    <t>Wins by 12</t>
  </si>
  <si>
    <t>Wins by 13</t>
  </si>
  <si>
    <t>Wins by 14</t>
  </si>
  <si>
    <t>Wins by 15</t>
  </si>
  <si>
    <t>Wins by 16</t>
  </si>
  <si>
    <t>Wins by 17</t>
  </si>
  <si>
    <t>Wins by 18</t>
  </si>
  <si>
    <t>Wins by 19</t>
  </si>
  <si>
    <t>Wins by 20</t>
  </si>
  <si>
    <t>Tie</t>
  </si>
  <si>
    <t>Penalty</t>
  </si>
  <si>
    <t>Pen</t>
  </si>
  <si>
    <t>Line Infantry</t>
  </si>
  <si>
    <t>Strategy Skill</t>
  </si>
  <si>
    <t xml:space="preserve">GURPS Mass Combat is a trademark of Steve Jackson Games, and its rules and art are </t>
  </si>
  <si>
    <t>copyrighted by Steve Jackson Games . All rights are reserved by Steve Jackson Games.</t>
  </si>
  <si>
    <t xml:space="preserve">This game aid is the original creation of Grant Waldron and is released for free </t>
  </si>
  <si>
    <t>distribution, and not for resale, under the permissions granted in the</t>
  </si>
  <si>
    <t>http://www.sjgames.com/general/online_policy.html Steve Jackson Games Online Policy</t>
  </si>
  <si>
    <t>Instructions for use:-</t>
  </si>
  <si>
    <t>Notes-</t>
  </si>
  <si>
    <t>*The workbook contains 6 sheets, 2 TL0-5 army sheets for creating armies that are TL0-5, 1 TL0-5 battle sheet for comparing the armies on the 2 TL0-5 sheets, 2 TL6-12 sheets for creating armies TL6-12, and 1 TL6-12 battle sheet for comparing the 2 armies on the TL6-12 sheets</t>
  </si>
  <si>
    <t>Creating an Army-</t>
  </si>
  <si>
    <t>*Type the name of the Army next to “Army Name:” or leave as the default “Army 1” or “Army 2”</t>
  </si>
  <si>
    <t>*Select the element you want to add from the element dropdown list in the element column</t>
  </si>
  <si>
    <t>*In the case of the TL6-12 sheets next select the TL of the unit from the dropdown list in the TL column (some units will not display correctly until this has happened)</t>
  </si>
  <si>
    <t>*Next set the total number of elements by typing a number into the number column (or leave as the default 1)</t>
  </si>
  <si>
    <t>*As an option a combat effectiveness column has been placed for army lists that have carried over from a previous battle with casualties, simply adjust the combat effectiveness down by the casualties of the previous battles so 100% becomes 80% if in the previous battle the force took 20% casualties</t>
  </si>
  <si>
    <t>*Next select equipment quality from the equipment quality dropdown list in the equipment quality column or leave as the default “Basic”</t>
  </si>
  <si>
    <t>*Next select troop quality from the troop quality dropdown list in the troop quality column or leave as the default “Average”</t>
  </si>
  <si>
    <t>*Next you can select up to 4 special qualities from the 4 special qualities columns and drop down lists or just leave as the default “-“</t>
  </si>
  <si>
    <t>*Now repeat for any more units in the army</t>
  </si>
  <si>
    <t>*As you can see the sheet will calculate all relevant TS totals and Raise and Maintain costs as you go.</t>
  </si>
  <si>
    <t>The Battle-</t>
  </si>
  <si>
    <t>*After both army sheets for a TL group have been filled out go to the battle sheet for that TL Group</t>
  </si>
  <si>
    <t>*The army names will be carried over from the 2 army sheets as will the army stats</t>
  </si>
  <si>
    <t>*Follow the above step for each round of the battle making changes as they are necessary.</t>
  </si>
  <si>
    <t>*The sheet will auto-fill TS, Class, Wt, Mob, Raise, Maint, and TL in the case of the TL0-5 sheets (The TL6-12 sheets will not). [for TL0-5 units that increase in power as TL increases just type the new TL into the TL column, DO NOT do this for other TL0-5 units however as it will change their stats as well)</t>
  </si>
  <si>
    <t>The material presented here is my original creation, intended for use with the</t>
  </si>
  <si>
    <t>GURPS System</t>
  </si>
  <si>
    <t>from</t>
  </si>
  <si>
    <t>Steve Jackson Games</t>
  </si>
  <si>
    <t>This material is not official and is not endorsed by Steve Jackson Games</t>
  </si>
  <si>
    <t>GURPS Mass Combat</t>
  </si>
  <si>
    <t>From</t>
  </si>
  <si>
    <t>The material presented here is my original creation, intended for use with</t>
  </si>
  <si>
    <t>*Note the Battle page was not the main focus of the sheet and doesn't cover all the special rules found in Mass Combat such as seige battles etc.</t>
  </si>
  <si>
    <t>Fix List 01-02</t>
  </si>
  <si>
    <t>changed miners TS from 5 to 0.5</t>
  </si>
  <si>
    <t>Data Validation</t>
  </si>
  <si>
    <t>LS</t>
  </si>
  <si>
    <t>Cost to raise</t>
  </si>
  <si>
    <t>Cost to maintain</t>
  </si>
  <si>
    <t>Raise Total</t>
  </si>
  <si>
    <t>Maint Total</t>
  </si>
  <si>
    <t>Fix List 02-03</t>
  </si>
  <si>
    <t>Added Logistics calculations</t>
  </si>
  <si>
    <t>(Fire)</t>
  </si>
  <si>
    <t>(Cavalry)</t>
  </si>
  <si>
    <t>(Armor)</t>
  </si>
  <si>
    <t>(Artillery)</t>
  </si>
  <si>
    <t>(Naval)</t>
  </si>
  <si>
    <t>(Engineering)</t>
  </si>
  <si>
    <t>(Command)</t>
  </si>
  <si>
    <t>Fix List 03-04</t>
  </si>
  <si>
    <t>Changed the wording of the nuetralizing units labels</t>
  </si>
  <si>
    <t>set the wrongly unhidden fields of "Army 2 TL0-5" back to hidden</t>
  </si>
  <si>
    <t>Alter the Neutralizing unit formula to calculate special options as well</t>
  </si>
  <si>
    <t>Made change so fanatic units now calculate raise cost correctly</t>
  </si>
  <si>
    <t>Made change to TS calculation so it now adds 10% of TS for support units</t>
  </si>
  <si>
    <t>Changed the color of cells with formulas to Red and those without to Black</t>
  </si>
  <si>
    <r>
      <t xml:space="preserve">*Anything in </t>
    </r>
    <r>
      <rPr>
        <b/>
        <sz val="12"/>
        <rFont val="Times New Roman"/>
        <family val="1"/>
      </rPr>
      <t>BLACK</t>
    </r>
    <r>
      <rPr>
        <sz val="12"/>
        <rFont val="Times New Roman"/>
        <family val="1"/>
      </rPr>
      <t xml:space="preserve"> is a field where you can enter a name or a number and the sheet will adapt.</t>
    </r>
  </si>
  <si>
    <r>
      <t xml:space="preserve">*Anything in </t>
    </r>
    <r>
      <rPr>
        <b/>
        <sz val="12"/>
        <color rgb="FFFF0000"/>
        <rFont val="Times New Roman"/>
        <family val="1"/>
      </rPr>
      <t>RED</t>
    </r>
    <r>
      <rPr>
        <sz val="12"/>
        <rFont val="Times New Roman"/>
        <family val="1"/>
      </rPr>
      <t xml:space="preserve"> is a cell that either contains a formula or data validation that you should try to avoid writing over otherwise you may experience issues.</t>
    </r>
  </si>
  <si>
    <t>Air, T2</t>
  </si>
  <si>
    <t>Updated Element tables to reflect errata</t>
  </si>
  <si>
    <t>Strategy</t>
  </si>
  <si>
    <t>All-Out Attack</t>
  </si>
  <si>
    <t>Attack</t>
  </si>
  <si>
    <t>Deliberate Attack</t>
  </si>
  <si>
    <t>Indirect Attack</t>
  </si>
  <si>
    <t>All-Out Defense</t>
  </si>
  <si>
    <t>Defense</t>
  </si>
  <si>
    <t>Deliberate Defense</t>
  </si>
  <si>
    <t>Mobile Defense</t>
  </si>
  <si>
    <t>Parley</t>
  </si>
  <si>
    <t>Rally</t>
  </si>
  <si>
    <t>Fighting Retreat</t>
  </si>
  <si>
    <t>Full Retreat</t>
  </si>
  <si>
    <t>Raid</t>
  </si>
  <si>
    <t>Skirmish</t>
  </si>
  <si>
    <t>Strategy Mod</t>
  </si>
  <si>
    <t>Casualty Mod on Self</t>
  </si>
  <si>
    <t>Margin of victory</t>
  </si>
  <si>
    <t>Indirect Attack No 2+</t>
  </si>
  <si>
    <t>PB reduction on loss</t>
  </si>
  <si>
    <t>PB reduction on win</t>
  </si>
  <si>
    <t>Other Bonus</t>
  </si>
  <si>
    <t>N/A</t>
  </si>
  <si>
    <t>Casualty Mod on Enemy on Win</t>
  </si>
  <si>
    <t>Casualty Mod on Enemy on Tie</t>
  </si>
  <si>
    <t>Enemy Defense Bonus reduction (as bonus)</t>
  </si>
  <si>
    <t>Wins by 0</t>
  </si>
  <si>
    <t>Added strategy to battles sheets</t>
  </si>
  <si>
    <t>*Fill in the Casualties, Commander Risk, Significant Actions, Defence Bonus, Strategy chosen, Position Bonus, and Strategy Skill for each of the 2 sides for the round in question, and then fill in the Roll that each side made on the dice and the sheet will display the outcome. [Warning- the sheet calculates in real time so any changes you make will instantly recalculate the result so be sure you remember the results of the previous round for both sides before you change any of the numbers]</t>
  </si>
  <si>
    <t>Fix List 04-05</t>
  </si>
  <si>
    <t>Many fixes to army sheet formulas to fix several problems</t>
  </si>
  <si>
    <t>Sir Richards Army</t>
  </si>
  <si>
    <t>10% Adjust for C3I</t>
  </si>
  <si>
    <t>Fix List 05-06</t>
  </si>
  <si>
    <t>Added math so that C3I support units don’t factor into overall TS</t>
  </si>
  <si>
    <t>Dictator</t>
  </si>
  <si>
    <t>Militia</t>
  </si>
  <si>
    <t>Conscripts</t>
  </si>
  <si>
    <t>Green Milita</t>
  </si>
  <si>
    <t>Veteran Militia</t>
  </si>
  <si>
    <t>Regular</t>
  </si>
  <si>
    <t>Personal Guard</t>
  </si>
  <si>
    <t>1 Söldner G</t>
  </si>
  <si>
    <t>1 Söldner V</t>
  </si>
  <si>
    <t>1 Söldner E</t>
  </si>
  <si>
    <t>Veterans</t>
  </si>
  <si>
    <t>Green MG</t>
  </si>
  <si>
    <t>MG</t>
  </si>
  <si>
    <t>Veteran MG</t>
  </si>
  <si>
    <t>Green Mortar</t>
  </si>
  <si>
    <t>Mortar</t>
  </si>
  <si>
    <t>Veteran Mortar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</si>
</sst>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0.0"/>
  </numFmts>
  <fonts count="17" x14ac:knownFonts="1">
    <font>
      <sz val="10"/>
      <name val="Arial"/>
    </font>
    <font>
      <sz val="8"/>
      <name val="Arial"/>
    </font>
    <font>
      <b/>
      <u/>
      <sz val="10"/>
      <name val="Arial"/>
      <family val="2"/>
    </font>
    <font>
      <sz val="10"/>
      <name val="Arial"/>
      <family val="2"/>
    </font>
    <font>
      <b/>
      <i/>
      <u/>
      <sz val="10"/>
      <name val="Arial"/>
      <family val="2"/>
    </font>
    <font>
      <b/>
      <sz val="10"/>
      <name val="Arial"/>
      <family val="2"/>
    </font>
    <font>
      <sz val="12"/>
      <name val="Times New Roman"/>
      <family val="1"/>
    </font>
    <font>
      <b/>
      <sz val="12"/>
      <name val="Times New Roman"/>
      <family val="1"/>
    </font>
    <font>
      <b/>
      <u/>
      <sz val="12"/>
      <name val="Times New Roman"/>
      <family val="1"/>
    </font>
    <font>
      <b/>
      <i/>
      <u/>
      <sz val="16"/>
      <name val="Times New Roman"/>
      <family val="1"/>
    </font>
    <font>
      <b/>
      <i/>
      <sz val="10"/>
      <name val="Arial"/>
      <family val="2"/>
    </font>
    <font>
      <sz val="8.3000000000000007"/>
      <color indexed="63"/>
      <name val="Segoe UI"/>
      <family val="2"/>
    </font>
    <font>
      <b/>
      <i/>
      <sz val="10"/>
      <color indexed="12"/>
      <name val="Arial"/>
      <family val="2"/>
    </font>
    <font>
      <u/>
      <sz val="10"/>
      <color theme="10"/>
      <name val="Arial"/>
      <family val="2"/>
    </font>
    <font>
      <sz val="10"/>
      <color rgb="FFFF0000"/>
      <name val="Arial"/>
      <family val="2"/>
    </font>
    <font>
      <b/>
      <sz val="10"/>
      <color rgb="FFFF0000"/>
      <name val="Arial"/>
      <family val="2"/>
    </font>
    <font>
      <b/>
      <sz val="12"/>
      <color rgb="FFFF0000"/>
      <name val="Times New Roman"/>
      <family val="1"/>
    </font>
  </fonts>
  <fills count="2">
    <fill>
      <patternFill patternType="none"/>
    </fill>
    <fill>
      <patternFill patternType="gray125"/>
    </fill>
  </fills>
  <borders count="1">
    <border>
      <left/>
      <right/>
      <top/>
      <bottom/>
      <diagonal/>
    </border>
  </borders>
  <cellStyleXfs count="2">
    <xf numFmtId="0" fontId="0" fillId="0" borderId="0"/>
    <xf numFmtId="0" fontId="13" fillId="0" borderId="0" applyNumberFormat="0" applyFill="0" applyBorder="0" applyAlignment="0" applyProtection="0"/>
  </cellStyleXfs>
  <cellXfs count="70">
    <xf numFmtId="0" fontId="0" fillId="0" borderId="0" xfId="0"/>
    <xf numFmtId="0" fontId="2" fillId="0" borderId="0" xfId="0" applyFont="1" applyAlignment="1">
      <alignment horizontal="center"/>
    </xf>
    <xf numFmtId="0" fontId="0" fillId="0" borderId="0" xfId="0" applyAlignment="1">
      <alignment horizontal="center"/>
    </xf>
    <xf numFmtId="0" fontId="2" fillId="0" borderId="0" xfId="0" applyFont="1" applyAlignment="1">
      <alignment horizontal="left"/>
    </xf>
    <xf numFmtId="3" fontId="0" fillId="0" borderId="0" xfId="0" applyNumberFormat="1" applyAlignment="1">
      <alignment horizontal="center"/>
    </xf>
    <xf numFmtId="0" fontId="0" fillId="0" borderId="0" xfId="0" applyAlignment="1">
      <alignment horizontal="left"/>
    </xf>
    <xf numFmtId="49" fontId="2" fillId="0" borderId="0" xfId="0" applyNumberFormat="1" applyFont="1" applyAlignment="1">
      <alignment horizontal="left"/>
    </xf>
    <xf numFmtId="49" fontId="2" fillId="0" borderId="0" xfId="0" applyNumberFormat="1" applyFont="1" applyAlignment="1">
      <alignment horizontal="center"/>
    </xf>
    <xf numFmtId="49" fontId="0" fillId="0" borderId="0" xfId="0" applyNumberFormat="1" applyAlignment="1">
      <alignment horizontal="center"/>
    </xf>
    <xf numFmtId="3" fontId="2" fillId="0" borderId="0" xfId="0" applyNumberFormat="1" applyFont="1" applyAlignment="1">
      <alignment horizontal="center"/>
    </xf>
    <xf numFmtId="0" fontId="3" fillId="0" borderId="0" xfId="0" applyFont="1" applyAlignment="1">
      <alignment horizontal="center"/>
    </xf>
    <xf numFmtId="0" fontId="3" fillId="0" borderId="0" xfId="0" applyFont="1" applyAlignment="1">
      <alignment horizontal="left"/>
    </xf>
    <xf numFmtId="0" fontId="3" fillId="0" borderId="0" xfId="0" applyFont="1"/>
    <xf numFmtId="0" fontId="2" fillId="0" borderId="0" xfId="0" applyFont="1"/>
    <xf numFmtId="3" fontId="3" fillId="0" borderId="0" xfId="0" applyNumberFormat="1" applyFont="1" applyAlignment="1">
      <alignment horizontal="center"/>
    </xf>
    <xf numFmtId="164" fontId="2" fillId="0" borderId="0" xfId="0" applyNumberFormat="1" applyFont="1" applyAlignment="1">
      <alignment horizontal="center"/>
    </xf>
    <xf numFmtId="164" fontId="0" fillId="0" borderId="0" xfId="0" applyNumberFormat="1" applyAlignment="1">
      <alignment horizontal="right"/>
    </xf>
    <xf numFmtId="49" fontId="2" fillId="0" borderId="0" xfId="0" applyNumberFormat="1" applyFont="1" applyAlignment="1">
      <alignment horizontal="right"/>
    </xf>
    <xf numFmtId="0" fontId="0" fillId="0" borderId="0" xfId="0" applyAlignment="1">
      <alignment horizontal="right"/>
    </xf>
    <xf numFmtId="3" fontId="0" fillId="0" borderId="0" xfId="0" applyNumberFormat="1" applyAlignment="1">
      <alignment horizontal="right"/>
    </xf>
    <xf numFmtId="0" fontId="3" fillId="0" borderId="0" xfId="0" applyFont="1" applyAlignment="1">
      <alignment horizontal="right"/>
    </xf>
    <xf numFmtId="3" fontId="3" fillId="0" borderId="0" xfId="0" applyNumberFormat="1" applyFont="1" applyAlignment="1">
      <alignment horizontal="right"/>
    </xf>
    <xf numFmtId="0" fontId="4" fillId="0" borderId="0" xfId="0" applyFont="1"/>
    <xf numFmtId="0" fontId="4" fillId="0" borderId="0" xfId="0" applyFont="1" applyAlignment="1">
      <alignment horizontal="left"/>
    </xf>
    <xf numFmtId="3" fontId="0" fillId="0" borderId="0" xfId="0" applyNumberFormat="1"/>
    <xf numFmtId="0" fontId="4" fillId="0" borderId="0" xfId="0" applyFont="1" applyAlignment="1">
      <alignment horizontal="center"/>
    </xf>
    <xf numFmtId="9" fontId="0" fillId="0" borderId="0" xfId="0" applyNumberFormat="1"/>
    <xf numFmtId="9" fontId="3" fillId="0" borderId="0" xfId="0" applyNumberFormat="1" applyFont="1"/>
    <xf numFmtId="3" fontId="3" fillId="0" borderId="0" xfId="0" applyNumberFormat="1" applyFont="1"/>
    <xf numFmtId="3" fontId="4" fillId="0" borderId="0" xfId="0" applyNumberFormat="1" applyFont="1" applyAlignment="1">
      <alignment horizontal="center"/>
    </xf>
    <xf numFmtId="0" fontId="0" fillId="0" borderId="0" xfId="0" applyAlignment="1"/>
    <xf numFmtId="0" fontId="6" fillId="0" borderId="0" xfId="0" applyFont="1" applyAlignment="1">
      <alignment vertical="center" wrapText="1"/>
    </xf>
    <xf numFmtId="0" fontId="8" fillId="0" borderId="0" xfId="0" applyFont="1" applyAlignment="1">
      <alignment vertical="center" wrapText="1"/>
    </xf>
    <xf numFmtId="0" fontId="9" fillId="0" borderId="0" xfId="0" applyFont="1" applyAlignment="1">
      <alignment vertical="center" wrapText="1"/>
    </xf>
    <xf numFmtId="0" fontId="11" fillId="0" borderId="0" xfId="0" applyFont="1" applyAlignment="1">
      <alignment wrapText="1"/>
    </xf>
    <xf numFmtId="0" fontId="10" fillId="0" borderId="0" xfId="0" applyFont="1" applyFill="1" applyBorder="1"/>
    <xf numFmtId="0" fontId="12" fillId="0" borderId="0" xfId="1" applyFont="1" applyFill="1" applyBorder="1"/>
    <xf numFmtId="0" fontId="13" fillId="0" borderId="0" xfId="1" applyAlignment="1">
      <alignment wrapText="1"/>
    </xf>
    <xf numFmtId="0" fontId="3" fillId="0" borderId="0" xfId="0" applyNumberFormat="1" applyFont="1" applyAlignment="1">
      <alignment horizontal="center"/>
    </xf>
    <xf numFmtId="0" fontId="0" fillId="0" borderId="0" xfId="0" applyNumberFormat="1" applyAlignment="1">
      <alignment horizontal="center"/>
    </xf>
    <xf numFmtId="164" fontId="5" fillId="0" borderId="0" xfId="0" applyNumberFormat="1" applyFont="1" applyAlignment="1">
      <alignment horizontal="center"/>
    </xf>
    <xf numFmtId="0" fontId="0" fillId="0" borderId="0" xfId="0" applyNumberFormat="1" applyAlignment="1">
      <alignment horizontal="right"/>
    </xf>
    <xf numFmtId="0" fontId="0" fillId="0" borderId="0" xfId="0" applyAlignment="1">
      <alignment horizontal="center"/>
    </xf>
    <xf numFmtId="0" fontId="14" fillId="0" borderId="0" xfId="0" applyFont="1" applyAlignment="1">
      <alignment horizontal="center"/>
    </xf>
    <xf numFmtId="9" fontId="3" fillId="0" borderId="0" xfId="0" applyNumberFormat="1" applyFont="1" applyAlignment="1">
      <alignment horizontal="center"/>
    </xf>
    <xf numFmtId="164" fontId="14" fillId="0" borderId="0" xfId="0" applyNumberFormat="1" applyFont="1" applyAlignment="1">
      <alignment horizontal="right"/>
    </xf>
    <xf numFmtId="3" fontId="14" fillId="0" borderId="0" xfId="0" applyNumberFormat="1" applyFont="1" applyAlignment="1">
      <alignment horizontal="center"/>
    </xf>
    <xf numFmtId="165" fontId="14" fillId="0" borderId="0" xfId="0" applyNumberFormat="1" applyFont="1" applyAlignment="1">
      <alignment horizontal="center"/>
    </xf>
    <xf numFmtId="0" fontId="14" fillId="0" borderId="0" xfId="0" applyFont="1"/>
    <xf numFmtId="3" fontId="14" fillId="0" borderId="0" xfId="0" applyNumberFormat="1" applyFont="1"/>
    <xf numFmtId="9" fontId="14" fillId="0" borderId="0" xfId="0" applyNumberFormat="1" applyFont="1"/>
    <xf numFmtId="1" fontId="14" fillId="0" borderId="0" xfId="0" applyNumberFormat="1" applyFont="1"/>
    <xf numFmtId="0" fontId="0" fillId="0" borderId="0" xfId="0" applyAlignment="1">
      <alignment horizontal="left" vertical="center"/>
    </xf>
    <xf numFmtId="49" fontId="0" fillId="0" borderId="0" xfId="0" applyNumberFormat="1"/>
    <xf numFmtId="49" fontId="5" fillId="0" borderId="0" xfId="0" applyNumberFormat="1" applyFont="1"/>
    <xf numFmtId="49" fontId="3" fillId="0" borderId="0" xfId="0" applyNumberFormat="1" applyFont="1"/>
    <xf numFmtId="49" fontId="4" fillId="0" borderId="0" xfId="0" applyNumberFormat="1" applyFont="1"/>
    <xf numFmtId="0" fontId="3" fillId="0" borderId="0" xfId="0" applyNumberFormat="1" applyFont="1"/>
    <xf numFmtId="0" fontId="0" fillId="0" borderId="0" xfId="0" applyNumberFormat="1"/>
    <xf numFmtId="0" fontId="5" fillId="0" borderId="0" xfId="0" applyNumberFormat="1" applyFont="1"/>
    <xf numFmtId="0" fontId="0" fillId="0" borderId="0" xfId="0" applyNumberFormat="1" applyFont="1"/>
    <xf numFmtId="0" fontId="3" fillId="0" borderId="0" xfId="0" applyFont="1" applyAlignment="1">
      <alignment horizontal="center"/>
    </xf>
    <xf numFmtId="0" fontId="0" fillId="0" borderId="0" xfId="0" applyAlignment="1">
      <alignment horizontal="center"/>
    </xf>
    <xf numFmtId="0" fontId="14" fillId="0" borderId="0" xfId="0" applyNumberFormat="1" applyFont="1" applyAlignment="1">
      <alignment horizontal="center"/>
    </xf>
    <xf numFmtId="0" fontId="0" fillId="0" borderId="0" xfId="0" applyAlignment="1">
      <alignment horizontal="center"/>
    </xf>
    <xf numFmtId="49" fontId="15" fillId="0" borderId="0" xfId="0" applyNumberFormat="1" applyFont="1" applyAlignment="1">
      <alignment horizontal="left"/>
    </xf>
    <xf numFmtId="3" fontId="15" fillId="0" borderId="0" xfId="0" applyNumberFormat="1" applyFont="1" applyAlignment="1">
      <alignment horizontal="left"/>
    </xf>
    <xf numFmtId="9" fontId="2" fillId="0" borderId="0" xfId="0" applyNumberFormat="1" applyFont="1" applyAlignment="1">
      <alignment horizontal="center"/>
    </xf>
    <xf numFmtId="0" fontId="3" fillId="0" borderId="0" xfId="0" applyFont="1" applyAlignment="1">
      <alignment horizontal="center"/>
    </xf>
    <xf numFmtId="0" fontId="0" fillId="0" borderId="0" xfId="0"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jgames.com/" TargetMode="External"/><Relationship Id="rId2" Type="http://schemas.openxmlformats.org/officeDocument/2006/relationships/hyperlink" Target="http://www.sjgames.com/gurps" TargetMode="External"/><Relationship Id="rId1" Type="http://schemas.openxmlformats.org/officeDocument/2006/relationships/hyperlink" Target="http://www.sjgames.com/general/online_policy.html" TargetMode="External"/><Relationship Id="rId6" Type="http://schemas.openxmlformats.org/officeDocument/2006/relationships/printerSettings" Target="../printerSettings/printerSettings1.bin"/><Relationship Id="rId5" Type="http://schemas.openxmlformats.org/officeDocument/2006/relationships/hyperlink" Target="http://www.sjgames.com/gurps/books/masscombat/" TargetMode="External"/><Relationship Id="rId4" Type="http://schemas.openxmlformats.org/officeDocument/2006/relationships/hyperlink" Target="http://www.sjgames.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66"/>
  <sheetViews>
    <sheetView topLeftCell="A37" workbookViewId="0">
      <selection activeCell="A66" sqref="A66"/>
    </sheetView>
  </sheetViews>
  <sheetFormatPr defaultRowHeight="12.75" x14ac:dyDescent="0.2"/>
  <cols>
    <col min="1" max="1" width="170.7109375" customWidth="1"/>
  </cols>
  <sheetData>
    <row r="1" spans="1:1" ht="12.75" customHeight="1" x14ac:dyDescent="0.2">
      <c r="A1" s="35" t="s">
        <v>321</v>
      </c>
    </row>
    <row r="2" spans="1:1" x14ac:dyDescent="0.2">
      <c r="A2" s="35" t="s">
        <v>322</v>
      </c>
    </row>
    <row r="3" spans="1:1" x14ac:dyDescent="0.2">
      <c r="A3" s="35" t="s">
        <v>323</v>
      </c>
    </row>
    <row r="4" spans="1:1" x14ac:dyDescent="0.2">
      <c r="A4" s="35" t="s">
        <v>324</v>
      </c>
    </row>
    <row r="5" spans="1:1" x14ac:dyDescent="0.2">
      <c r="A5" s="36" t="s">
        <v>325</v>
      </c>
    </row>
    <row r="7" spans="1:1" x14ac:dyDescent="0.2">
      <c r="A7" s="34" t="s">
        <v>345</v>
      </c>
    </row>
    <row r="8" spans="1:1" x14ac:dyDescent="0.2">
      <c r="A8" s="37" t="s">
        <v>346</v>
      </c>
    </row>
    <row r="9" spans="1:1" x14ac:dyDescent="0.2">
      <c r="A9" s="34" t="s">
        <v>347</v>
      </c>
    </row>
    <row r="10" spans="1:1" x14ac:dyDescent="0.2">
      <c r="A10" s="37" t="s">
        <v>348</v>
      </c>
    </row>
    <row r="11" spans="1:1" x14ac:dyDescent="0.2">
      <c r="A11" s="34" t="s">
        <v>349</v>
      </c>
    </row>
    <row r="13" spans="1:1" x14ac:dyDescent="0.2">
      <c r="A13" s="34" t="s">
        <v>352</v>
      </c>
    </row>
    <row r="14" spans="1:1" x14ac:dyDescent="0.2">
      <c r="A14" s="37" t="s">
        <v>350</v>
      </c>
    </row>
    <row r="15" spans="1:1" x14ac:dyDescent="0.2">
      <c r="A15" s="34" t="s">
        <v>351</v>
      </c>
    </row>
    <row r="16" spans="1:1" x14ac:dyDescent="0.2">
      <c r="A16" s="37" t="s">
        <v>348</v>
      </c>
    </row>
    <row r="17" spans="1:1" x14ac:dyDescent="0.2">
      <c r="A17" s="34" t="s">
        <v>349</v>
      </c>
    </row>
    <row r="18" spans="1:1" x14ac:dyDescent="0.2">
      <c r="A18" s="37"/>
    </row>
    <row r="19" spans="1:1" x14ac:dyDescent="0.2">
      <c r="A19" s="12"/>
    </row>
    <row r="20" spans="1:1" ht="20.25" x14ac:dyDescent="0.2">
      <c r="A20" s="33" t="s">
        <v>326</v>
      </c>
    </row>
    <row r="21" spans="1:1" ht="15.75" x14ac:dyDescent="0.2">
      <c r="A21" s="31" t="s">
        <v>327</v>
      </c>
    </row>
    <row r="22" spans="1:1" ht="15.75" x14ac:dyDescent="0.2">
      <c r="A22" s="31" t="s">
        <v>378</v>
      </c>
    </row>
    <row r="23" spans="1:1" ht="15.75" x14ac:dyDescent="0.2">
      <c r="A23" s="31" t="s">
        <v>379</v>
      </c>
    </row>
    <row r="24" spans="1:1" ht="31.5" x14ac:dyDescent="0.2">
      <c r="A24" s="31" t="s">
        <v>328</v>
      </c>
    </row>
    <row r="25" spans="1:1" ht="15.75" x14ac:dyDescent="0.2">
      <c r="A25" s="31"/>
    </row>
    <row r="26" spans="1:1" ht="15.75" x14ac:dyDescent="0.2">
      <c r="A26" s="32" t="s">
        <v>329</v>
      </c>
    </row>
    <row r="27" spans="1:1" ht="15.75" x14ac:dyDescent="0.2">
      <c r="A27" s="31" t="s">
        <v>330</v>
      </c>
    </row>
    <row r="28" spans="1:1" ht="15.75" x14ac:dyDescent="0.2">
      <c r="A28" s="31" t="s">
        <v>331</v>
      </c>
    </row>
    <row r="29" spans="1:1" ht="31.5" x14ac:dyDescent="0.2">
      <c r="A29" s="31" t="s">
        <v>344</v>
      </c>
    </row>
    <row r="30" spans="1:1" ht="15.75" x14ac:dyDescent="0.2">
      <c r="A30" s="31" t="s">
        <v>332</v>
      </c>
    </row>
    <row r="31" spans="1:1" ht="15.75" x14ac:dyDescent="0.2">
      <c r="A31" s="31" t="s">
        <v>333</v>
      </c>
    </row>
    <row r="32" spans="1:1" ht="31.5" x14ac:dyDescent="0.2">
      <c r="A32" s="31" t="s">
        <v>334</v>
      </c>
    </row>
    <row r="33" spans="1:1" ht="15.75" x14ac:dyDescent="0.2">
      <c r="A33" s="31" t="s">
        <v>335</v>
      </c>
    </row>
    <row r="34" spans="1:1" ht="15.75" x14ac:dyDescent="0.2">
      <c r="A34" s="31" t="s">
        <v>336</v>
      </c>
    </row>
    <row r="35" spans="1:1" ht="15.75" x14ac:dyDescent="0.2">
      <c r="A35" s="31" t="s">
        <v>337</v>
      </c>
    </row>
    <row r="36" spans="1:1" ht="15.75" x14ac:dyDescent="0.2">
      <c r="A36" s="31" t="s">
        <v>338</v>
      </c>
    </row>
    <row r="37" spans="1:1" ht="15.75" x14ac:dyDescent="0.2">
      <c r="A37" s="31" t="s">
        <v>339</v>
      </c>
    </row>
    <row r="38" spans="1:1" ht="15.75" x14ac:dyDescent="0.2">
      <c r="A38" s="31"/>
    </row>
    <row r="39" spans="1:1" ht="15.75" x14ac:dyDescent="0.2">
      <c r="A39" s="32" t="s">
        <v>340</v>
      </c>
    </row>
    <row r="40" spans="1:1" ht="15.75" x14ac:dyDescent="0.2">
      <c r="A40" s="31" t="s">
        <v>341</v>
      </c>
    </row>
    <row r="41" spans="1:1" ht="15.75" x14ac:dyDescent="0.2">
      <c r="A41" s="31" t="s">
        <v>342</v>
      </c>
    </row>
    <row r="42" spans="1:1" ht="47.25" x14ac:dyDescent="0.2">
      <c r="A42" s="31" t="s">
        <v>410</v>
      </c>
    </row>
    <row r="43" spans="1:1" ht="15.75" x14ac:dyDescent="0.2">
      <c r="A43" s="31" t="s">
        <v>343</v>
      </c>
    </row>
    <row r="44" spans="1:1" ht="15.75" x14ac:dyDescent="0.2">
      <c r="A44" s="31" t="s">
        <v>353</v>
      </c>
    </row>
    <row r="46" spans="1:1" ht="15.75" x14ac:dyDescent="0.2">
      <c r="A46" s="32" t="s">
        <v>354</v>
      </c>
    </row>
    <row r="47" spans="1:1" ht="15.75" x14ac:dyDescent="0.2">
      <c r="A47" s="31" t="s">
        <v>355</v>
      </c>
    </row>
    <row r="49" spans="1:1" ht="15.75" x14ac:dyDescent="0.2">
      <c r="A49" s="32" t="s">
        <v>362</v>
      </c>
    </row>
    <row r="50" spans="1:1" x14ac:dyDescent="0.2">
      <c r="A50" t="s">
        <v>363</v>
      </c>
    </row>
    <row r="52" spans="1:1" ht="15.75" x14ac:dyDescent="0.2">
      <c r="A52" s="32" t="s">
        <v>371</v>
      </c>
    </row>
    <row r="53" spans="1:1" x14ac:dyDescent="0.2">
      <c r="A53" s="12" t="s">
        <v>372</v>
      </c>
    </row>
    <row r="54" spans="1:1" x14ac:dyDescent="0.2">
      <c r="A54" s="12" t="s">
        <v>373</v>
      </c>
    </row>
    <row r="55" spans="1:1" x14ac:dyDescent="0.2">
      <c r="A55" s="12" t="s">
        <v>374</v>
      </c>
    </row>
    <row r="56" spans="1:1" x14ac:dyDescent="0.2">
      <c r="A56" s="12" t="s">
        <v>375</v>
      </c>
    </row>
    <row r="57" spans="1:1" x14ac:dyDescent="0.2">
      <c r="A57" s="12" t="s">
        <v>376</v>
      </c>
    </row>
    <row r="58" spans="1:1" x14ac:dyDescent="0.2">
      <c r="A58" s="12" t="s">
        <v>377</v>
      </c>
    </row>
    <row r="59" spans="1:1" x14ac:dyDescent="0.2">
      <c r="A59" s="12" t="s">
        <v>381</v>
      </c>
    </row>
    <row r="60" spans="1:1" x14ac:dyDescent="0.2">
      <c r="A60" s="12" t="s">
        <v>409</v>
      </c>
    </row>
    <row r="62" spans="1:1" ht="15.75" x14ac:dyDescent="0.2">
      <c r="A62" s="32" t="s">
        <v>411</v>
      </c>
    </row>
    <row r="63" spans="1:1" x14ac:dyDescent="0.2">
      <c r="A63" s="12" t="s">
        <v>412</v>
      </c>
    </row>
    <row r="65" spans="1:1" ht="15.75" x14ac:dyDescent="0.2">
      <c r="A65" s="32" t="s">
        <v>415</v>
      </c>
    </row>
    <row r="66" spans="1:1" x14ac:dyDescent="0.2">
      <c r="A66" s="12" t="s">
        <v>416</v>
      </c>
    </row>
  </sheetData>
  <phoneticPr fontId="1" type="noConversion"/>
  <hyperlinks>
    <hyperlink ref="A5" r:id="rId1"/>
    <hyperlink ref="A8" r:id="rId2"/>
    <hyperlink ref="A10" r:id="rId3"/>
    <hyperlink ref="A16" r:id="rId4"/>
    <hyperlink ref="A14" r:id="rId5"/>
  </hyperlinks>
  <pageMargins left="0.7" right="0.7" top="0.75" bottom="0.75" header="0.3" footer="0.3"/>
  <pageSetup paperSize="9" orientation="portrait"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B38"/>
  <sheetViews>
    <sheetView tabSelected="1" topLeftCell="C1" workbookViewId="0">
      <selection activeCell="G3" sqref="G3"/>
    </sheetView>
  </sheetViews>
  <sheetFormatPr defaultRowHeight="12.75" x14ac:dyDescent="0.2"/>
  <cols>
    <col min="1" max="1" width="17.28515625" bestFit="1" customWidth="1"/>
    <col min="2" max="2" width="14.5703125" style="24" customWidth="1"/>
    <col min="3" max="3" width="12.5703125" bestFit="1" customWidth="1"/>
    <col min="4" max="4" width="15.85546875" style="24" bestFit="1" customWidth="1"/>
    <col min="5" max="5" width="6.28515625" bestFit="1" customWidth="1"/>
    <col min="7" max="7" width="13.7109375" bestFit="1" customWidth="1"/>
    <col min="8" max="9" width="13.28515625" style="2" customWidth="1"/>
    <col min="10" max="10" width="19" style="2" hidden="1" customWidth="1"/>
    <col min="11" max="11" width="7.140625" hidden="1" customWidth="1"/>
    <col min="12" max="13" width="17" customWidth="1"/>
    <col min="14" max="15" width="8.140625" customWidth="1"/>
    <col min="16" max="16" width="18.85546875" hidden="1" customWidth="1"/>
    <col min="17" max="17" width="13.140625" hidden="1" customWidth="1"/>
    <col min="18" max="18" width="30.42578125" hidden="1" customWidth="1"/>
    <col min="19" max="19" width="29.7109375" hidden="1" customWidth="1"/>
    <col min="20" max="20" width="20.42578125" hidden="1" customWidth="1"/>
    <col min="21" max="21" width="41" style="58" hidden="1" customWidth="1"/>
    <col min="22" max="22" width="16.28515625" hidden="1" customWidth="1"/>
    <col min="23" max="23" width="19.85546875" style="58" hidden="1" customWidth="1"/>
    <col min="24" max="24" width="19.7109375" style="58" hidden="1" customWidth="1"/>
  </cols>
  <sheetData>
    <row r="1" spans="1:28" x14ac:dyDescent="0.2">
      <c r="A1" s="22" t="s">
        <v>157</v>
      </c>
      <c r="B1" s="66" t="str">
        <f>'Army 1 TL6-12'!C1</f>
        <v>Dictator</v>
      </c>
      <c r="E1" s="22"/>
      <c r="F1" s="22" t="s">
        <v>163</v>
      </c>
      <c r="G1" s="12"/>
      <c r="H1" s="29" t="str">
        <f>B1</f>
        <v>Dictator</v>
      </c>
      <c r="I1" s="29" t="str">
        <f>B13</f>
        <v>Militia</v>
      </c>
      <c r="J1" s="25" t="s">
        <v>160</v>
      </c>
      <c r="K1" s="25" t="s">
        <v>159</v>
      </c>
      <c r="L1" s="25" t="str">
        <f>B1&amp;" Bonus"</f>
        <v>Dictator Bonus</v>
      </c>
      <c r="M1" s="25" t="str">
        <f>B13&amp;" Bonus"</f>
        <v>Militia Bonus</v>
      </c>
      <c r="P1" s="56" t="s">
        <v>157</v>
      </c>
      <c r="Q1" s="54" t="s">
        <v>397</v>
      </c>
      <c r="R1" s="54" t="s">
        <v>405</v>
      </c>
      <c r="S1" s="54" t="s">
        <v>406</v>
      </c>
      <c r="T1" s="54" t="s">
        <v>398</v>
      </c>
      <c r="U1" s="59" t="s">
        <v>407</v>
      </c>
      <c r="V1" s="54" t="s">
        <v>399</v>
      </c>
      <c r="W1" s="59" t="s">
        <v>401</v>
      </c>
      <c r="X1" s="59" t="s">
        <v>402</v>
      </c>
      <c r="Y1" s="53"/>
      <c r="Z1" s="53"/>
      <c r="AA1" s="53"/>
      <c r="AB1" s="53"/>
    </row>
    <row r="2" spans="1:28" x14ac:dyDescent="0.2">
      <c r="A2" s="11" t="s">
        <v>146</v>
      </c>
      <c r="B2" s="63">
        <f>'Army 1 TL6-12'!C36</f>
        <v>220</v>
      </c>
      <c r="C2" s="10"/>
      <c r="D2" s="4"/>
      <c r="E2" s="24"/>
      <c r="G2" s="11" t="s">
        <v>146</v>
      </c>
      <c r="H2" s="47">
        <f>IF(B2&gt;B14,B2/B14,1)</f>
        <v>1.8565400843881856</v>
      </c>
      <c r="I2" s="47">
        <f>IF(B14&gt;B2,B14/B2,1)</f>
        <v>1</v>
      </c>
      <c r="J2" s="43">
        <f t="shared" ref="J2:J10" si="0">IF(H2&gt;I2,(ROUNDDOWN(H2/0.5,0)*0.5), (ROUNDDOWN(I2/0.5,0)*0.5))</f>
        <v>1.5</v>
      </c>
      <c r="K2" s="48">
        <f>IF(J2&gt;50,20,VLOOKUP(J2,'TL6-12 Tables'!A3:B103,2,FALSE))</f>
        <v>2</v>
      </c>
      <c r="L2" s="48">
        <f>IF(H2&gt;I2,K2,0)</f>
        <v>2</v>
      </c>
      <c r="M2" s="48">
        <f>IF(I2&gt;H2,K2,0)</f>
        <v>0</v>
      </c>
      <c r="P2" s="55" t="s">
        <v>101</v>
      </c>
      <c r="Q2" s="57">
        <v>0</v>
      </c>
      <c r="R2" s="26">
        <v>0</v>
      </c>
      <c r="S2" s="26">
        <v>0</v>
      </c>
      <c r="T2" s="27">
        <v>0</v>
      </c>
      <c r="U2" s="57">
        <v>0</v>
      </c>
      <c r="V2" s="57">
        <v>1</v>
      </c>
      <c r="W2" s="58">
        <v>0</v>
      </c>
      <c r="X2" s="58">
        <v>1</v>
      </c>
      <c r="Y2" s="53"/>
      <c r="Z2" s="53"/>
      <c r="AA2" s="53"/>
      <c r="AB2" s="53"/>
    </row>
    <row r="3" spans="1:28" x14ac:dyDescent="0.2">
      <c r="A3" s="11" t="s">
        <v>147</v>
      </c>
      <c r="B3" s="63">
        <f ca="1">'Army 1 TL6-12'!C37</f>
        <v>160</v>
      </c>
      <c r="C3" s="10" t="s">
        <v>364</v>
      </c>
      <c r="D3" s="63">
        <f ca="1">'Army 1 TL6-12'!G37</f>
        <v>0</v>
      </c>
      <c r="E3" s="24"/>
      <c r="F3" t="s">
        <v>164</v>
      </c>
      <c r="G3" s="11" t="s">
        <v>147</v>
      </c>
      <c r="H3" s="47">
        <f t="shared" ref="H3:H11" ca="1" si="1">IF(AND(B3&gt;0,B15&gt;0),IF(AND(B3&gt;B15,B3/(B15+D15)&gt;=1),B3/(B15+D15),IF(B3&gt;0,1,0)),IF(AND(B3&gt;0,B3&gt;$B$14/100,D15&gt;0),B3/D15,IF(AND(B3&gt;0,B3&gt;$B$14/100),5,IF(AND(B3+D3&gt;0,B15+D15&gt;0),1,0))))</f>
        <v>1.1347517730496455</v>
      </c>
      <c r="I3" s="47">
        <f t="shared" ref="I3:I11" ca="1" si="2">IF(AND(B3&gt;0,B15&gt;0),IF(AND(B15&gt;B3,B15/(B3+D3)&gt;=1),B15/(B3+D3),IF(B15&gt;0,1,0)),IF(AND(B15&gt;0,B15&gt;$B$2/100,D3&gt;0),B15/D3,IF(AND(B15&gt;0,B15&gt;$B$2/100),5,IF(AND(B15+D15&gt;0,B3+D3&gt;0),1,0))))</f>
        <v>1</v>
      </c>
      <c r="J3" s="43">
        <f t="shared" ca="1" si="0"/>
        <v>1</v>
      </c>
      <c r="K3" s="48">
        <f ca="1">IF(J3=0,0,IF(J3&gt;5,3,VLOOKUP(J3,'TL6-12 Tables'!$D$3:$E$13,2,FALSE)))</f>
        <v>0</v>
      </c>
      <c r="L3" s="48">
        <f t="shared" ref="L3:L10" ca="1" si="3">IF(F3="Yes",IF(H3&gt;I3,K3,0),0)</f>
        <v>0</v>
      </c>
      <c r="M3" s="48">
        <f t="shared" ref="M3:M10" ca="1" si="4">IF(F3="Yes",IF(I3&gt;H3,K3,0),0)</f>
        <v>0</v>
      </c>
      <c r="P3" s="55" t="s">
        <v>383</v>
      </c>
      <c r="Q3" s="57">
        <v>2</v>
      </c>
      <c r="R3" s="27">
        <v>-0.05</v>
      </c>
      <c r="S3" s="27">
        <v>0</v>
      </c>
      <c r="T3" s="27">
        <f ca="1">IF(M27="Wins by 20+",0.4,IF(L27="Wins by 20+",0,IF(L27&gt;M27,VLOOKUP(L27,'TL6-12 Tables'!A111:D132,3,FALSE),VLOOKUP(M27,'TL6-12 Tables'!A111:D132,2,FALSE))))</f>
        <v>-0.15</v>
      </c>
      <c r="U3" s="57">
        <v>0</v>
      </c>
      <c r="V3" s="57">
        <v>1</v>
      </c>
      <c r="W3" s="58">
        <v>0</v>
      </c>
      <c r="X3" s="58">
        <v>1</v>
      </c>
      <c r="Y3" s="53"/>
      <c r="Z3" s="53"/>
      <c r="AA3" s="53"/>
      <c r="AB3" s="53"/>
    </row>
    <row r="4" spans="1:28" x14ac:dyDescent="0.2">
      <c r="A4" s="11" t="s">
        <v>148</v>
      </c>
      <c r="B4" s="63">
        <f ca="1">'Army 1 TL6-12'!C38</f>
        <v>60</v>
      </c>
      <c r="C4" s="10" t="s">
        <v>365</v>
      </c>
      <c r="D4" s="63">
        <f ca="1">'Army 1 TL6-12'!G38</f>
        <v>0</v>
      </c>
      <c r="E4" s="24"/>
      <c r="F4" t="s">
        <v>164</v>
      </c>
      <c r="G4" s="11" t="s">
        <v>148</v>
      </c>
      <c r="H4" s="47">
        <f t="shared" ca="1" si="1"/>
        <v>5</v>
      </c>
      <c r="I4" s="47">
        <f t="shared" ca="1" si="2"/>
        <v>0</v>
      </c>
      <c r="J4" s="43">
        <f t="shared" ca="1" si="0"/>
        <v>5</v>
      </c>
      <c r="K4" s="48">
        <f ca="1">IF(J4=0,0,IF(J4&gt;5,3,VLOOKUP(J4,'TL6-12 Tables'!$D$3:$E$13,2,FALSE)))</f>
        <v>3</v>
      </c>
      <c r="L4" s="48">
        <f t="shared" ca="1" si="3"/>
        <v>3</v>
      </c>
      <c r="M4" s="48">
        <f t="shared" ca="1" si="4"/>
        <v>0</v>
      </c>
      <c r="P4" s="55" t="s">
        <v>384</v>
      </c>
      <c r="Q4" s="58">
        <v>0</v>
      </c>
      <c r="R4" s="26">
        <v>0</v>
      </c>
      <c r="S4" s="26">
        <v>0</v>
      </c>
      <c r="T4" s="26">
        <v>0</v>
      </c>
      <c r="U4" s="58">
        <v>0</v>
      </c>
      <c r="V4" s="57">
        <v>1</v>
      </c>
      <c r="W4" s="58">
        <v>0</v>
      </c>
      <c r="X4" s="58">
        <v>1</v>
      </c>
      <c r="Y4" s="53"/>
      <c r="Z4" s="53"/>
      <c r="AA4" s="53"/>
      <c r="AB4" s="53"/>
    </row>
    <row r="5" spans="1:28" x14ac:dyDescent="0.2">
      <c r="A5" s="11" t="s">
        <v>149</v>
      </c>
      <c r="B5" s="63">
        <f ca="1">'Army 1 TL6-12'!C39</f>
        <v>0</v>
      </c>
      <c r="C5" s="10" t="s">
        <v>366</v>
      </c>
      <c r="D5" s="63">
        <f ca="1">'Army 1 TL6-12'!G39</f>
        <v>0</v>
      </c>
      <c r="E5" s="24"/>
      <c r="F5" t="s">
        <v>164</v>
      </c>
      <c r="G5" s="11" t="s">
        <v>149</v>
      </c>
      <c r="H5" s="47">
        <f t="shared" ca="1" si="1"/>
        <v>0</v>
      </c>
      <c r="I5" s="47">
        <f t="shared" ca="1" si="2"/>
        <v>0</v>
      </c>
      <c r="J5" s="43">
        <f t="shared" ca="1" si="0"/>
        <v>0</v>
      </c>
      <c r="K5" s="48">
        <f ca="1">IF(J5=0,0,IF(J5&gt;5,3,VLOOKUP(J5,'TL6-12 Tables'!$D$3:$E$13,2,FALSE)))</f>
        <v>0</v>
      </c>
      <c r="L5" s="48">
        <f t="shared" ca="1" si="3"/>
        <v>0</v>
      </c>
      <c r="M5" s="48">
        <f t="shared" ca="1" si="4"/>
        <v>0</v>
      </c>
      <c r="P5" s="55" t="s">
        <v>385</v>
      </c>
      <c r="Q5" s="57">
        <f ca="1">IF(L7&gt;0,2,1)</f>
        <v>1</v>
      </c>
      <c r="R5" s="26">
        <v>0</v>
      </c>
      <c r="S5" s="26">
        <v>0</v>
      </c>
      <c r="T5" s="26">
        <v>0</v>
      </c>
      <c r="U5" s="57">
        <f>ROUNDDOWN(M16/2,0)</f>
        <v>0</v>
      </c>
      <c r="V5" s="57">
        <v>1</v>
      </c>
      <c r="W5" s="58">
        <v>0</v>
      </c>
      <c r="X5" s="58">
        <v>1</v>
      </c>
      <c r="Y5" s="53"/>
      <c r="Z5" s="53"/>
      <c r="AA5" s="53"/>
      <c r="AB5" s="53"/>
    </row>
    <row r="6" spans="1:28" x14ac:dyDescent="0.2">
      <c r="A6" s="11" t="s">
        <v>150</v>
      </c>
      <c r="B6" s="63">
        <f ca="1">'Army 1 TL6-12'!C40</f>
        <v>0</v>
      </c>
      <c r="C6" s="10" t="s">
        <v>62</v>
      </c>
      <c r="D6" s="63">
        <f ca="1">'Army 1 TL6-12'!G40</f>
        <v>0</v>
      </c>
      <c r="E6" s="24"/>
      <c r="F6" t="s">
        <v>164</v>
      </c>
      <c r="G6" s="11" t="s">
        <v>150</v>
      </c>
      <c r="H6" s="47">
        <f t="shared" ca="1" si="1"/>
        <v>0</v>
      </c>
      <c r="I6" s="47">
        <f t="shared" ca="1" si="2"/>
        <v>0</v>
      </c>
      <c r="J6" s="43">
        <f t="shared" ca="1" si="0"/>
        <v>0</v>
      </c>
      <c r="K6" s="48">
        <f ca="1">IF(J6=0,0,IF(J6&gt;5,3,VLOOKUP(J6,'TL6-12 Tables'!$D$3:$E$13,2,FALSE)))</f>
        <v>0</v>
      </c>
      <c r="L6" s="48">
        <f t="shared" ca="1" si="3"/>
        <v>0</v>
      </c>
      <c r="M6" s="48">
        <f t="shared" ca="1" si="4"/>
        <v>0</v>
      </c>
      <c r="P6" s="55" t="s">
        <v>386</v>
      </c>
      <c r="Q6" s="57">
        <f ca="1">IF(L10&gt;0,-2,-3)</f>
        <v>-3</v>
      </c>
      <c r="R6" s="26">
        <v>0</v>
      </c>
      <c r="S6" s="26">
        <v>0</v>
      </c>
      <c r="T6" s="27">
        <v>0</v>
      </c>
      <c r="U6" s="60">
        <v>0</v>
      </c>
      <c r="V6" s="57">
        <v>2</v>
      </c>
      <c r="W6" s="58">
        <v>0</v>
      </c>
      <c r="X6" s="58">
        <v>1</v>
      </c>
      <c r="Y6" s="53"/>
      <c r="Z6" s="53"/>
      <c r="AA6" s="53"/>
      <c r="AB6" s="53"/>
    </row>
    <row r="7" spans="1:28" x14ac:dyDescent="0.2">
      <c r="A7" s="11" t="s">
        <v>151</v>
      </c>
      <c r="B7" s="63">
        <f ca="1">'Army 1 TL6-12'!C41</f>
        <v>0</v>
      </c>
      <c r="C7" s="10" t="s">
        <v>367</v>
      </c>
      <c r="D7" s="63">
        <f ca="1">'Army 1 TL6-12'!G41</f>
        <v>0</v>
      </c>
      <c r="E7" s="24"/>
      <c r="F7" t="s">
        <v>164</v>
      </c>
      <c r="G7" s="11" t="s">
        <v>151</v>
      </c>
      <c r="H7" s="47">
        <f t="shared" ca="1" si="1"/>
        <v>0</v>
      </c>
      <c r="I7" s="47">
        <f t="shared" ca="1" si="2"/>
        <v>0</v>
      </c>
      <c r="J7" s="43">
        <f t="shared" ca="1" si="0"/>
        <v>0</v>
      </c>
      <c r="K7" s="48">
        <f ca="1">IF(J7=0,0,IF(J7&gt;5,3,VLOOKUP(J7,'TL6-12 Tables'!$D$3:$E$13,2,FALSE)))</f>
        <v>0</v>
      </c>
      <c r="L7" s="48">
        <f t="shared" ca="1" si="3"/>
        <v>0</v>
      </c>
      <c r="M7" s="48">
        <f t="shared" ca="1" si="4"/>
        <v>0</v>
      </c>
      <c r="P7" s="55" t="s">
        <v>400</v>
      </c>
      <c r="Q7" s="57">
        <f ca="1">IF(L10&gt;0,-2,-3)</f>
        <v>-3</v>
      </c>
      <c r="R7" s="26">
        <v>0</v>
      </c>
      <c r="S7" s="26">
        <v>0</v>
      </c>
      <c r="T7" s="27">
        <v>0</v>
      </c>
      <c r="U7" s="60">
        <v>0</v>
      </c>
      <c r="V7" s="57">
        <v>1.5</v>
      </c>
      <c r="W7" s="58">
        <v>0</v>
      </c>
      <c r="X7" s="58">
        <v>1</v>
      </c>
      <c r="Y7" s="53"/>
      <c r="Z7" s="53"/>
      <c r="AA7" s="53"/>
      <c r="AB7" s="53"/>
    </row>
    <row r="8" spans="1:28" x14ac:dyDescent="0.2">
      <c r="A8" s="11" t="s">
        <v>152</v>
      </c>
      <c r="B8" s="63">
        <f ca="1">'Army 1 TL6-12'!C42</f>
        <v>0</v>
      </c>
      <c r="C8" s="10" t="s">
        <v>368</v>
      </c>
      <c r="D8" s="63">
        <f ca="1">'Army 1 TL6-12'!G42</f>
        <v>0</v>
      </c>
      <c r="E8" s="24"/>
      <c r="F8" t="s">
        <v>164</v>
      </c>
      <c r="G8" s="11" t="s">
        <v>152</v>
      </c>
      <c r="H8" s="47">
        <f t="shared" ca="1" si="1"/>
        <v>0</v>
      </c>
      <c r="I8" s="47">
        <f t="shared" ca="1" si="2"/>
        <v>0</v>
      </c>
      <c r="J8" s="43">
        <f t="shared" ca="1" si="0"/>
        <v>0</v>
      </c>
      <c r="K8" s="48">
        <f ca="1">IF(J8=0,0,IF(J8&gt;5,3,VLOOKUP(J8,'TL6-12 Tables'!$D$3:$E$13,2,FALSE)))</f>
        <v>0</v>
      </c>
      <c r="L8" s="48">
        <f t="shared" ca="1" si="3"/>
        <v>0</v>
      </c>
      <c r="M8" s="48">
        <f t="shared" ca="1" si="4"/>
        <v>0</v>
      </c>
      <c r="P8" s="55" t="s">
        <v>387</v>
      </c>
      <c r="Q8" s="57">
        <v>2</v>
      </c>
      <c r="R8" s="26">
        <v>0</v>
      </c>
      <c r="S8" s="26">
        <v>0</v>
      </c>
      <c r="T8" s="27">
        <f ca="1">IF(M27="Wins by 20+",0.4,IF(L27="Wins by 20+",0,IF(L27&gt;M27,VLOOKUP(L27,'TL6-12 Tables'!A111:D132,3,FALSE),VLOOKUP(M27,'TL6-12 Tables'!A111:D132,2,FALSE))))</f>
        <v>-0.15</v>
      </c>
      <c r="U8" s="60">
        <v>0</v>
      </c>
      <c r="V8" s="57">
        <v>1</v>
      </c>
      <c r="W8" s="58">
        <v>-1</v>
      </c>
      <c r="X8" s="57">
        <v>0</v>
      </c>
      <c r="Y8" s="53"/>
      <c r="Z8" s="53"/>
      <c r="AA8" s="53"/>
      <c r="AB8" s="53"/>
    </row>
    <row r="9" spans="1:28" x14ac:dyDescent="0.2">
      <c r="A9" s="11" t="s">
        <v>153</v>
      </c>
      <c r="B9" s="63">
        <f ca="1">'Army 1 TL6-12'!C43</f>
        <v>0</v>
      </c>
      <c r="C9" s="10" t="s">
        <v>369</v>
      </c>
      <c r="D9" s="63">
        <f ca="1">'Army 1 TL6-12'!G43</f>
        <v>0</v>
      </c>
      <c r="E9" s="24"/>
      <c r="F9" t="s">
        <v>164</v>
      </c>
      <c r="G9" s="11" t="s">
        <v>153</v>
      </c>
      <c r="H9" s="47">
        <f t="shared" ca="1" si="1"/>
        <v>0</v>
      </c>
      <c r="I9" s="47">
        <f t="shared" ca="1" si="2"/>
        <v>0</v>
      </c>
      <c r="J9" s="43">
        <f t="shared" ca="1" si="0"/>
        <v>0</v>
      </c>
      <c r="K9" s="48">
        <f ca="1">IF(J9=0,0,IF(J9&gt;5,3,VLOOKUP(J9,'TL6-12 Tables'!$D$3:$E$13,2,FALSE)))</f>
        <v>0</v>
      </c>
      <c r="L9" s="48">
        <f t="shared" ca="1" si="3"/>
        <v>0</v>
      </c>
      <c r="M9" s="48">
        <f t="shared" ca="1" si="4"/>
        <v>0</v>
      </c>
      <c r="P9" s="55" t="s">
        <v>388</v>
      </c>
      <c r="Q9" s="57">
        <v>1</v>
      </c>
      <c r="R9" s="26">
        <v>0</v>
      </c>
      <c r="S9" s="26">
        <v>0</v>
      </c>
      <c r="T9" s="26">
        <v>0</v>
      </c>
      <c r="U9" s="60">
        <v>0</v>
      </c>
      <c r="V9" s="57">
        <v>1</v>
      </c>
      <c r="W9" s="58">
        <v>0</v>
      </c>
      <c r="X9" s="57">
        <v>0</v>
      </c>
      <c r="Y9" s="53"/>
      <c r="Z9" s="53"/>
      <c r="AA9" s="53"/>
      <c r="AB9" s="53"/>
    </row>
    <row r="10" spans="1:28" x14ac:dyDescent="0.2">
      <c r="A10" s="11" t="s">
        <v>154</v>
      </c>
      <c r="B10" s="63">
        <f ca="1">'Army 1 TL6-12'!C44</f>
        <v>0</v>
      </c>
      <c r="C10" s="10" t="s">
        <v>370</v>
      </c>
      <c r="D10" s="63">
        <f ca="1">'Army 1 TL6-12'!G44</f>
        <v>0</v>
      </c>
      <c r="E10" s="24"/>
      <c r="F10" t="s">
        <v>164</v>
      </c>
      <c r="G10" s="11" t="s">
        <v>154</v>
      </c>
      <c r="H10" s="47">
        <f t="shared" ca="1" si="1"/>
        <v>0</v>
      </c>
      <c r="I10" s="47">
        <f t="shared" ca="1" si="2"/>
        <v>0</v>
      </c>
      <c r="J10" s="43">
        <f t="shared" ca="1" si="0"/>
        <v>0</v>
      </c>
      <c r="K10" s="48">
        <f ca="1">IF(J10=0,0,IF(J10&gt;5,3,VLOOKUP(J10,'TL6-12 Tables'!$D$3:$E$13,2,FALSE)))</f>
        <v>0</v>
      </c>
      <c r="L10" s="48">
        <f t="shared" ca="1" si="3"/>
        <v>0</v>
      </c>
      <c r="M10" s="48">
        <f t="shared" ca="1" si="4"/>
        <v>0</v>
      </c>
      <c r="P10" s="55" t="s">
        <v>389</v>
      </c>
      <c r="Q10" s="57">
        <f ca="1">IF(L3&gt;0,2,1)</f>
        <v>1</v>
      </c>
      <c r="R10" s="27">
        <v>-0.05</v>
      </c>
      <c r="S10" s="27">
        <v>-0.05</v>
      </c>
      <c r="T10" s="26">
        <v>0</v>
      </c>
      <c r="U10" s="60">
        <v>0</v>
      </c>
      <c r="V10" s="57">
        <v>1</v>
      </c>
      <c r="W10" s="58">
        <v>0</v>
      </c>
      <c r="X10" s="57">
        <v>0</v>
      </c>
      <c r="Y10" s="53"/>
      <c r="Z10" s="53"/>
      <c r="AA10" s="53"/>
      <c r="AB10" s="53"/>
    </row>
    <row r="11" spans="1:28" x14ac:dyDescent="0.2">
      <c r="A11" s="11" t="s">
        <v>166</v>
      </c>
      <c r="B11" s="63">
        <f>'Army 1 TL6-12'!C45</f>
        <v>160</v>
      </c>
      <c r="F11" s="12" t="s">
        <v>404</v>
      </c>
      <c r="G11" s="11" t="s">
        <v>166</v>
      </c>
      <c r="H11" s="47">
        <f t="shared" si="1"/>
        <v>1.3793103448275863</v>
      </c>
      <c r="I11" s="47">
        <f t="shared" si="2"/>
        <v>1</v>
      </c>
      <c r="J11" s="43">
        <f>IF(H11&gt;I11,(ROUNDDOWN(H11/0.5,0)*0.5), (ROUNDDOWN(I11/0.5,0)*0.5))</f>
        <v>1</v>
      </c>
      <c r="K11" s="48">
        <f>IF(J11=0,0,IF(J11&gt;5,3,VLOOKUP(J11,'TL6-12 Tables'!$D$3:$E$13,2,FALSE)))</f>
        <v>0</v>
      </c>
      <c r="L11" s="48">
        <f>IF(H11&gt;I11,K11,0)</f>
        <v>0</v>
      </c>
      <c r="M11" s="48">
        <f>IF(I11&gt;H11,K11,0)</f>
        <v>0</v>
      </c>
      <c r="P11" s="55" t="s">
        <v>390</v>
      </c>
      <c r="Q11" s="57">
        <f ca="1">IF(OR(L4&gt;0,L8&gt;0),1,0)</f>
        <v>1</v>
      </c>
      <c r="R11" s="26">
        <v>0</v>
      </c>
      <c r="S11" s="26">
        <v>0</v>
      </c>
      <c r="T11" s="26">
        <v>0.05</v>
      </c>
      <c r="U11" s="60">
        <v>0</v>
      </c>
      <c r="V11" s="57">
        <v>1</v>
      </c>
      <c r="W11" s="57">
        <v>1</v>
      </c>
      <c r="X11" s="57">
        <v>1</v>
      </c>
      <c r="Y11" s="53"/>
      <c r="Z11" s="53"/>
      <c r="AA11" s="53"/>
      <c r="AB11" s="53"/>
    </row>
    <row r="12" spans="1:28" x14ac:dyDescent="0.2">
      <c r="P12" s="55" t="s">
        <v>391</v>
      </c>
      <c r="Q12" s="57">
        <v>0</v>
      </c>
      <c r="R12" s="26">
        <v>0</v>
      </c>
      <c r="S12" s="26">
        <v>0</v>
      </c>
      <c r="T12" s="26">
        <v>0</v>
      </c>
      <c r="U12" s="60">
        <v>0</v>
      </c>
      <c r="V12" s="57">
        <v>1</v>
      </c>
      <c r="W12" s="58">
        <v>0</v>
      </c>
      <c r="X12" s="57">
        <v>1</v>
      </c>
      <c r="Y12" s="53"/>
      <c r="Z12" s="53"/>
      <c r="AA12" s="53"/>
      <c r="AB12" s="53"/>
    </row>
    <row r="13" spans="1:28" x14ac:dyDescent="0.2">
      <c r="A13" s="23" t="s">
        <v>158</v>
      </c>
      <c r="B13" s="66" t="str">
        <f>'Army 2 TL6-12'!C1</f>
        <v>Militia</v>
      </c>
      <c r="H13" s="68" t="s">
        <v>382</v>
      </c>
      <c r="I13" s="69"/>
      <c r="L13" s="52" t="s">
        <v>101</v>
      </c>
      <c r="M13" s="52" t="s">
        <v>101</v>
      </c>
      <c r="P13" s="55" t="s">
        <v>392</v>
      </c>
      <c r="Q13" s="57">
        <v>-2</v>
      </c>
      <c r="R13" s="26">
        <v>0</v>
      </c>
      <c r="S13" s="26">
        <v>0</v>
      </c>
      <c r="T13" s="26">
        <v>0</v>
      </c>
      <c r="U13" s="60">
        <v>0</v>
      </c>
      <c r="V13" s="57">
        <v>1</v>
      </c>
      <c r="W13" s="58">
        <v>0</v>
      </c>
      <c r="X13" s="57">
        <v>1</v>
      </c>
      <c r="Y13" s="53"/>
      <c r="Z13" s="53"/>
      <c r="AA13" s="53"/>
      <c r="AB13" s="53"/>
    </row>
    <row r="14" spans="1:28" x14ac:dyDescent="0.2">
      <c r="A14" s="11" t="s">
        <v>146</v>
      </c>
      <c r="B14" s="63">
        <f>'Army 2 TL6-12'!C36</f>
        <v>118.5</v>
      </c>
      <c r="C14" s="10"/>
      <c r="D14" s="4"/>
      <c r="H14" s="69" t="s">
        <v>284</v>
      </c>
      <c r="I14" s="69"/>
      <c r="J14" s="42"/>
      <c r="L14" s="12">
        <v>0</v>
      </c>
      <c r="M14" s="12">
        <v>0</v>
      </c>
      <c r="P14" s="55" t="s">
        <v>393</v>
      </c>
      <c r="Q14" s="57">
        <v>3</v>
      </c>
      <c r="R14" s="26">
        <v>0</v>
      </c>
      <c r="S14" s="26">
        <v>0</v>
      </c>
      <c r="T14" s="26">
        <v>0</v>
      </c>
      <c r="U14" s="60">
        <v>0</v>
      </c>
      <c r="V14" s="57">
        <v>1</v>
      </c>
      <c r="W14" s="57">
        <v>1</v>
      </c>
      <c r="X14" s="57">
        <v>1</v>
      </c>
      <c r="Y14" s="53"/>
      <c r="Z14" s="53"/>
      <c r="AA14" s="53"/>
      <c r="AB14" s="53"/>
    </row>
    <row r="15" spans="1:28" x14ac:dyDescent="0.2">
      <c r="A15" s="11" t="s">
        <v>147</v>
      </c>
      <c r="B15" s="63">
        <f ca="1">'Army 2 TL6-12'!C37</f>
        <v>141</v>
      </c>
      <c r="C15" s="10" t="s">
        <v>364</v>
      </c>
      <c r="D15" s="63">
        <f ca="1">'Army 2 TL6-12'!G37</f>
        <v>0</v>
      </c>
      <c r="H15" s="69" t="s">
        <v>285</v>
      </c>
      <c r="I15" s="69"/>
      <c r="J15" s="42"/>
      <c r="L15" s="12">
        <v>0</v>
      </c>
      <c r="M15" s="12">
        <v>0</v>
      </c>
      <c r="P15" s="55" t="s">
        <v>394</v>
      </c>
      <c r="Q15" s="57">
        <v>8</v>
      </c>
      <c r="R15" s="27">
        <f ca="1">ABS(IF(L27="Wins by 20+",0.4,IF(M27="Wins by 20+",0,IF(M26&gt;L26,VLOOKUP(M27,'TL6-12 Tables'!A111:D132,3,FALSE),VLOOKUP(L27,'TL6-12 Tables'!A111:D132,2,FALSE)))))</f>
        <v>0.1</v>
      </c>
      <c r="S15" s="26">
        <f ca="1">ABS(IF(L27="Wins by 20+",0.4,IF(M27="Wins by 20+",0,IF(M26&gt;L26,VLOOKUP(M27,'TL6-12 Tables'!A111:D132,3,FALSE),VLOOKUP(L27,'TL6-12 Tables'!A111:D132,2,FALSE)))))</f>
        <v>0.1</v>
      </c>
      <c r="T15" s="27">
        <v>0.1</v>
      </c>
      <c r="U15" s="60">
        <v>0</v>
      </c>
      <c r="V15" s="57">
        <v>1</v>
      </c>
      <c r="W15" s="58">
        <v>0</v>
      </c>
      <c r="X15" s="57">
        <v>1</v>
      </c>
      <c r="Y15" s="53"/>
      <c r="Z15" s="53"/>
      <c r="AA15" s="53"/>
      <c r="AB15" s="53"/>
    </row>
    <row r="16" spans="1:28" x14ac:dyDescent="0.2">
      <c r="A16" s="11" t="s">
        <v>148</v>
      </c>
      <c r="B16" s="63">
        <f ca="1">'Army 2 TL6-12'!C38</f>
        <v>0</v>
      </c>
      <c r="C16" s="10" t="s">
        <v>365</v>
      </c>
      <c r="D16" s="63">
        <f ca="1">'Army 2 TL6-12'!G38</f>
        <v>0</v>
      </c>
      <c r="H16" s="69" t="s">
        <v>281</v>
      </c>
      <c r="I16" s="69"/>
      <c r="J16" s="42"/>
      <c r="L16" s="12">
        <v>0</v>
      </c>
      <c r="M16" s="12">
        <v>0</v>
      </c>
      <c r="P16" s="55" t="s">
        <v>395</v>
      </c>
      <c r="Q16" s="57">
        <f ca="1">COUNTIF(L6,"&gt;0")+COUNTIF(L4,"&gt;0")+COUNTIF(L8,"&gt;0")+COUNTIF(L11,"&gt;0")</f>
        <v>1</v>
      </c>
      <c r="R16" s="26">
        <v>0</v>
      </c>
      <c r="S16" s="26">
        <v>0</v>
      </c>
      <c r="T16" s="26">
        <v>0</v>
      </c>
      <c r="U16" s="60">
        <v>0</v>
      </c>
      <c r="V16" s="57">
        <v>1</v>
      </c>
      <c r="W16" s="58">
        <v>0</v>
      </c>
      <c r="X16" s="57">
        <v>1</v>
      </c>
      <c r="Y16" s="53"/>
      <c r="Z16" s="53"/>
      <c r="AA16" s="53"/>
      <c r="AB16" s="53"/>
    </row>
    <row r="17" spans="1:28" x14ac:dyDescent="0.2">
      <c r="A17" s="11" t="s">
        <v>149</v>
      </c>
      <c r="B17" s="63">
        <f ca="1">'Army 2 TL6-12'!C39</f>
        <v>0</v>
      </c>
      <c r="C17" s="10" t="s">
        <v>366</v>
      </c>
      <c r="D17" s="63">
        <f ca="1">'Army 2 TL6-12'!G39</f>
        <v>0</v>
      </c>
      <c r="H17" s="69" t="s">
        <v>286</v>
      </c>
      <c r="I17" s="69"/>
      <c r="J17" s="42"/>
      <c r="L17" s="12">
        <v>0</v>
      </c>
      <c r="M17" s="12">
        <v>0</v>
      </c>
      <c r="P17" s="55" t="s">
        <v>396</v>
      </c>
      <c r="Q17" s="57">
        <f ca="1">IF(OR(L6&gt;0,L7&gt;0,L3&gt;0),3,2)</f>
        <v>2</v>
      </c>
      <c r="R17" s="26">
        <v>0</v>
      </c>
      <c r="S17" s="26">
        <v>0</v>
      </c>
      <c r="T17" s="26">
        <v>0.05</v>
      </c>
      <c r="U17" s="60">
        <v>0</v>
      </c>
      <c r="V17" s="57">
        <v>0.5</v>
      </c>
      <c r="W17" s="58">
        <v>0</v>
      </c>
      <c r="X17" s="57">
        <v>0</v>
      </c>
      <c r="Y17" s="53"/>
      <c r="Z17" s="53"/>
      <c r="AA17" s="53"/>
      <c r="AB17" s="53"/>
    </row>
    <row r="18" spans="1:28" x14ac:dyDescent="0.2">
      <c r="A18" s="11" t="s">
        <v>150</v>
      </c>
      <c r="B18" s="63">
        <f ca="1">'Army 2 TL6-12'!C40</f>
        <v>0</v>
      </c>
      <c r="C18" s="10" t="s">
        <v>62</v>
      </c>
      <c r="D18" s="63">
        <f ca="1">'Army 2 TL6-12'!G40</f>
        <v>0</v>
      </c>
      <c r="H18" s="68" t="s">
        <v>403</v>
      </c>
      <c r="I18" s="68"/>
      <c r="J18" s="42"/>
      <c r="L18" s="12">
        <v>0</v>
      </c>
      <c r="M18" s="12">
        <v>0</v>
      </c>
    </row>
    <row r="19" spans="1:28" x14ac:dyDescent="0.2">
      <c r="A19" s="11" t="s">
        <v>151</v>
      </c>
      <c r="B19" s="63">
        <f ca="1">'Army 2 TL6-12'!C41</f>
        <v>0</v>
      </c>
      <c r="C19" s="10" t="s">
        <v>367</v>
      </c>
      <c r="D19" s="63">
        <f ca="1">'Army 2 TL6-12'!G41</f>
        <v>0</v>
      </c>
      <c r="H19" s="69" t="s">
        <v>283</v>
      </c>
      <c r="I19" s="69"/>
      <c r="J19" s="42"/>
      <c r="L19" s="49">
        <f>B26</f>
        <v>0</v>
      </c>
      <c r="M19" s="49">
        <f>B29</f>
        <v>0</v>
      </c>
      <c r="P19" s="56" t="s">
        <v>158</v>
      </c>
      <c r="Q19" s="54" t="s">
        <v>397</v>
      </c>
      <c r="R19" s="54" t="s">
        <v>405</v>
      </c>
      <c r="S19" s="54" t="s">
        <v>406</v>
      </c>
      <c r="T19" s="54" t="s">
        <v>398</v>
      </c>
      <c r="U19" s="59" t="s">
        <v>407</v>
      </c>
      <c r="V19" s="54" t="s">
        <v>399</v>
      </c>
      <c r="W19" s="59" t="s">
        <v>401</v>
      </c>
      <c r="X19" s="59" t="s">
        <v>402</v>
      </c>
    </row>
    <row r="20" spans="1:28" x14ac:dyDescent="0.2">
      <c r="A20" s="11" t="s">
        <v>152</v>
      </c>
      <c r="B20" s="63">
        <f ca="1">'Army 2 TL6-12'!C42</f>
        <v>0</v>
      </c>
      <c r="C20" s="10" t="s">
        <v>368</v>
      </c>
      <c r="D20" s="63">
        <f ca="1">'Army 2 TL6-12'!G42</f>
        <v>0</v>
      </c>
      <c r="H20" s="42"/>
      <c r="I20" s="42"/>
      <c r="J20" s="42"/>
      <c r="P20" s="55" t="s">
        <v>101</v>
      </c>
      <c r="Q20" s="57">
        <v>0</v>
      </c>
      <c r="R20" s="27">
        <v>0</v>
      </c>
      <c r="S20" s="27">
        <v>0</v>
      </c>
      <c r="T20" s="26">
        <v>0</v>
      </c>
      <c r="U20" s="58">
        <v>0</v>
      </c>
      <c r="V20" s="60">
        <v>1</v>
      </c>
      <c r="W20" s="58">
        <v>0</v>
      </c>
      <c r="X20" s="58">
        <v>1</v>
      </c>
    </row>
    <row r="21" spans="1:28" x14ac:dyDescent="0.2">
      <c r="A21" s="11" t="s">
        <v>153</v>
      </c>
      <c r="B21" s="63">
        <f ca="1">'Army 2 TL6-12'!C43</f>
        <v>0</v>
      </c>
      <c r="C21" s="10" t="s">
        <v>369</v>
      </c>
      <c r="D21" s="63">
        <f ca="1">'Army 2 TL6-12'!G43</f>
        <v>0</v>
      </c>
      <c r="H21" s="42"/>
      <c r="I21" s="11" t="s">
        <v>162</v>
      </c>
      <c r="J21" s="42"/>
      <c r="L21" s="48">
        <f ca="1">SUM(L2:L10)+SUM(L14:L19)+VLOOKUP(L13,P2:Q17,2,FALSE)+VLOOKUP(L13,P2:U17,6,FALSE)</f>
        <v>5</v>
      </c>
      <c r="M21" s="48">
        <f ca="1">SUM(M2:M10)+SUM(M14:M19)+VLOOKUP(M13,P20:Q35,2,FALSE)+VLOOKUP(M13,P20:U35,6,FALSE)</f>
        <v>0</v>
      </c>
      <c r="P21" s="55" t="s">
        <v>383</v>
      </c>
      <c r="Q21" s="57">
        <v>2</v>
      </c>
      <c r="R21" s="27">
        <v>-0.05</v>
      </c>
      <c r="S21" s="27">
        <v>0</v>
      </c>
      <c r="T21" s="27">
        <f ca="1">IF(L27="Wins by 20+",0.4,IF(M27="Wins by 20+",0,IF(M26&gt;L26,VLOOKUP(M27,'TL6-12 Tables'!A111:D132,3,FALSE),VLOOKUP(L27,'TL6-12 Tables'!A111:D132,2,FALSE))))</f>
        <v>-0.1</v>
      </c>
      <c r="U21" s="57">
        <v>0</v>
      </c>
      <c r="V21" s="57">
        <v>1</v>
      </c>
      <c r="W21" s="57">
        <v>0</v>
      </c>
      <c r="X21" s="58">
        <v>1</v>
      </c>
    </row>
    <row r="22" spans="1:28" x14ac:dyDescent="0.2">
      <c r="A22" s="11" t="s">
        <v>154</v>
      </c>
      <c r="B22" s="63">
        <f ca="1">'Army 2 TL6-12'!C44</f>
        <v>0</v>
      </c>
      <c r="C22" s="10" t="s">
        <v>370</v>
      </c>
      <c r="D22" s="63">
        <f ca="1">'Army 2 TL6-12'!G44</f>
        <v>0</v>
      </c>
      <c r="H22" s="30"/>
      <c r="I22" s="11" t="s">
        <v>320</v>
      </c>
      <c r="J22" s="42"/>
      <c r="L22" s="12">
        <v>12</v>
      </c>
      <c r="M22" s="12">
        <v>19</v>
      </c>
      <c r="P22" s="55" t="s">
        <v>384</v>
      </c>
      <c r="Q22" s="58">
        <v>0</v>
      </c>
      <c r="R22" s="26">
        <v>0</v>
      </c>
      <c r="S22" s="26">
        <v>0</v>
      </c>
      <c r="T22" s="26">
        <v>0</v>
      </c>
      <c r="U22" s="58">
        <v>0</v>
      </c>
      <c r="V22" s="60">
        <v>1</v>
      </c>
      <c r="W22" s="58">
        <v>0</v>
      </c>
      <c r="X22" s="58">
        <v>1</v>
      </c>
    </row>
    <row r="23" spans="1:28" x14ac:dyDescent="0.2">
      <c r="A23" s="11" t="s">
        <v>166</v>
      </c>
      <c r="B23" s="63">
        <f>'Army 2 TL6-12'!C45</f>
        <v>116</v>
      </c>
      <c r="H23" s="30"/>
      <c r="I23" s="42"/>
      <c r="J23" s="42"/>
      <c r="P23" s="55" t="s">
        <v>385</v>
      </c>
      <c r="Q23" s="57">
        <f ca="1">IF(M7&gt;0,2,1)</f>
        <v>1</v>
      </c>
      <c r="R23" s="26">
        <v>0</v>
      </c>
      <c r="S23" s="26">
        <v>0</v>
      </c>
      <c r="T23" s="26">
        <v>0</v>
      </c>
      <c r="U23" s="57">
        <f>ROUNDDOWN(L16/2,0)</f>
        <v>0</v>
      </c>
      <c r="V23" s="60">
        <v>1</v>
      </c>
      <c r="W23" s="58">
        <v>0</v>
      </c>
      <c r="X23" s="58">
        <v>1</v>
      </c>
    </row>
    <row r="24" spans="1:28" x14ac:dyDescent="0.2">
      <c r="H24" s="30"/>
      <c r="I24" s="42"/>
      <c r="J24" s="42"/>
      <c r="P24" s="55" t="s">
        <v>386</v>
      </c>
      <c r="Q24" s="57">
        <f ca="1">IF(M10&gt;0,-2,-3)</f>
        <v>-3</v>
      </c>
      <c r="R24" s="26">
        <v>0</v>
      </c>
      <c r="S24" s="26">
        <v>0</v>
      </c>
      <c r="T24" s="27">
        <v>0</v>
      </c>
      <c r="U24" s="60">
        <v>0</v>
      </c>
      <c r="V24" s="57">
        <v>2</v>
      </c>
      <c r="W24" s="58">
        <v>0</v>
      </c>
      <c r="X24" s="58">
        <v>1</v>
      </c>
    </row>
    <row r="25" spans="1:28" x14ac:dyDescent="0.2">
      <c r="A25" s="2" t="str">
        <f>B1&amp;" Casualties"</f>
        <v>Dictator Casualties</v>
      </c>
      <c r="B25" s="14" t="s">
        <v>317</v>
      </c>
      <c r="H25" s="30"/>
      <c r="I25" s="25" t="s">
        <v>287</v>
      </c>
      <c r="J25" s="42"/>
      <c r="L25" s="12">
        <v>16</v>
      </c>
      <c r="M25" s="12">
        <v>15</v>
      </c>
      <c r="P25" s="55" t="s">
        <v>400</v>
      </c>
      <c r="Q25" s="57">
        <f ca="1">IF(M10&gt;0,-2,-3)</f>
        <v>-3</v>
      </c>
      <c r="R25" s="26">
        <v>0</v>
      </c>
      <c r="S25" s="26">
        <v>0</v>
      </c>
      <c r="T25" s="27">
        <v>0</v>
      </c>
      <c r="U25" s="60">
        <v>0</v>
      </c>
      <c r="V25" s="57">
        <v>1.5</v>
      </c>
      <c r="W25" s="58">
        <v>0</v>
      </c>
      <c r="X25" s="58">
        <v>1</v>
      </c>
    </row>
    <row r="26" spans="1:28" x14ac:dyDescent="0.2">
      <c r="A26" s="44">
        <v>0</v>
      </c>
      <c r="B26" s="46">
        <f>VLOOKUP(A26,'TL6-12 Tables'!A136:B156,2,FALSE)</f>
        <v>0</v>
      </c>
      <c r="H26" s="42"/>
      <c r="I26" s="42" t="s">
        <v>289</v>
      </c>
      <c r="J26" s="42"/>
      <c r="L26" s="48">
        <f ca="1">(L21+L22)-L25</f>
        <v>1</v>
      </c>
      <c r="M26" s="48">
        <f ca="1">(M21+M22)-M25</f>
        <v>4</v>
      </c>
      <c r="P26" s="55" t="s">
        <v>387</v>
      </c>
      <c r="Q26" s="57">
        <v>2</v>
      </c>
      <c r="R26" s="26">
        <v>0</v>
      </c>
      <c r="S26" s="26">
        <v>0</v>
      </c>
      <c r="T26" s="27">
        <f ca="1">IF(L27="Wins by 20+",0.4,IF(M27="Wins by 20+",0,IF(M26&gt;L26,VLOOKUP(M27,'TL6-12 Tables'!A111:D132,3,FALSE),VLOOKUP(L27,'TL6-12 Tables'!A111:D132,2,FALSE))))</f>
        <v>-0.1</v>
      </c>
      <c r="U26" s="60">
        <v>0</v>
      </c>
      <c r="V26" s="60">
        <v>1</v>
      </c>
      <c r="W26" s="58">
        <v>-1</v>
      </c>
      <c r="X26" s="57">
        <v>0</v>
      </c>
    </row>
    <row r="27" spans="1:28" x14ac:dyDescent="0.2">
      <c r="A27" s="2"/>
      <c r="B27" s="4"/>
      <c r="H27" s="42"/>
      <c r="I27" s="10" t="s">
        <v>288</v>
      </c>
      <c r="J27" s="42"/>
      <c r="L27" s="43" t="str">
        <f ca="1">IF(ROUNDDOWN((L26-M26)*VLOOKUP(L13,P2:V17,7,FALSE),0)&gt;20,"Wins by 20+",IF(L26=M26,"Tie",IF(L26&gt;M26,"Wins by " &amp;ROUNDDOWN((L26-M26)*VLOOKUP(L13,P2:V17,7,FALSE),0),"")))</f>
        <v/>
      </c>
      <c r="M27" s="43" t="str">
        <f ca="1">IF(ROUNDDOWN((M26-L26)*VLOOKUP(M13,P20:V35,7,FALSE),0)&gt;20,"Wins by 20+",IF(L26=M26,"Tie",IF(M26&gt;L26,"Wins by "&amp;ROUNDDOWN((M26-L26)*VLOOKUP(M13,P20:V35,7,FALSE),0),"")))</f>
        <v>Wins by 3</v>
      </c>
      <c r="P27" s="55" t="s">
        <v>388</v>
      </c>
      <c r="Q27" s="57">
        <v>1</v>
      </c>
      <c r="R27" s="26">
        <v>0</v>
      </c>
      <c r="S27" s="26">
        <v>0</v>
      </c>
      <c r="T27" s="26">
        <v>0</v>
      </c>
      <c r="U27" s="60">
        <v>0</v>
      </c>
      <c r="V27" s="60">
        <v>1</v>
      </c>
      <c r="W27" s="58">
        <v>0</v>
      </c>
      <c r="X27" s="57">
        <v>0</v>
      </c>
    </row>
    <row r="28" spans="1:28" x14ac:dyDescent="0.2">
      <c r="A28" s="2" t="str">
        <f>B13&amp;" Casualties"</f>
        <v>Militia Casualties</v>
      </c>
      <c r="B28" s="14" t="s">
        <v>317</v>
      </c>
      <c r="H28" s="42"/>
      <c r="I28" s="42" t="s">
        <v>282</v>
      </c>
      <c r="J28" s="42"/>
      <c r="L28" s="50">
        <f ca="1">(IF(M27="Wins by 20+",0.4,IF(L27="Wins by 20+",0,IF(L27&gt;M27,VLOOKUP(L27,'TL6-12 Tables'!A111:D132,3,FALSE),VLOOKUP(M27,'TL6-12 Tables'!A111:D132,2,FALSE)))))+IF(L27="",VLOOKUP(M13,P20:S35,3,FALSE),0)+IF(L27="Tie",VLOOKUP(M13,P20:S35,4,FALSE),0)+VLOOKUP(L13,P2:T17,5,FALSE)</f>
        <v>-0.15</v>
      </c>
      <c r="M28" s="50">
        <f ca="1">IF(L27="Wins by 20+",0.4,IF(M27="Wins by 20+",0,IF(M26&gt;L26,VLOOKUP(M27,'TL6-12 Tables'!A111:D132,3,FALSE),VLOOKUP(L27,'TL6-12 Tables'!A111:D132,2,FALSE))))+IF(M27="",VLOOKUP(L13,P2:S17,3,FALSE),0)+IF(M27="Tie",VLOOKUP(L13,P2:S17,4,FALSE),0)+VLOOKUP(M13,P20:T35,5,FALSE)</f>
        <v>-0.1</v>
      </c>
      <c r="P28" s="55" t="s">
        <v>389</v>
      </c>
      <c r="Q28" s="57">
        <f ca="1">IF(M3&gt;0,2,1)</f>
        <v>1</v>
      </c>
      <c r="R28" s="27">
        <v>-0.05</v>
      </c>
      <c r="S28" s="27">
        <v>-0.05</v>
      </c>
      <c r="T28" s="26">
        <v>0</v>
      </c>
      <c r="U28" s="60">
        <v>0</v>
      </c>
      <c r="V28" s="60">
        <v>1</v>
      </c>
      <c r="W28" s="58">
        <v>0</v>
      </c>
      <c r="X28" s="57">
        <v>0</v>
      </c>
    </row>
    <row r="29" spans="1:28" x14ac:dyDescent="0.2">
      <c r="A29" s="44">
        <v>0</v>
      </c>
      <c r="B29" s="46">
        <f>VLOOKUP(A29,'TL6-12 Tables'!A136:B156,2,FALSE)</f>
        <v>0</v>
      </c>
      <c r="H29" s="42"/>
      <c r="I29" s="42" t="s">
        <v>290</v>
      </c>
      <c r="J29" s="42"/>
      <c r="L29" s="51" t="str">
        <f ca="1">IF(L27="Wins by 20+",4*VLOOKUP(L13,P2:X17,9,FALSE),IF(L27&gt;M27,VLOOKUP(L27,'TL6-12 Tables'!A111:D132,4,FALSE)*VLOOKUP(L13,P2:X17,9,FALSE),""))</f>
        <v/>
      </c>
      <c r="M29" s="51">
        <f ca="1">IF(M27="Wins by 20+",(4+VLOOKUP(L13,P2:W17,8,FALSE))*VLOOKUP(M13,P20:X35,9,FALSE),IF(M27&gt;L27,(VLOOKUP(M27,'TL6-12 Tables'!A111:D132,4,FALSE)+VLOOKUP(L13,P2:W17,8,FALSE))*VLOOKUP(M13,P20:X35,9,FALSE),""))</f>
        <v>1</v>
      </c>
      <c r="P29" s="55" t="s">
        <v>390</v>
      </c>
      <c r="Q29" s="57">
        <f ca="1">IF(OR(M4&gt;0,M8&gt;0),1,0)</f>
        <v>0</v>
      </c>
      <c r="R29" s="27">
        <v>0</v>
      </c>
      <c r="S29" s="27">
        <v>0</v>
      </c>
      <c r="T29" s="26">
        <v>0.05</v>
      </c>
      <c r="U29" s="60">
        <v>0</v>
      </c>
      <c r="V29" s="60">
        <v>1</v>
      </c>
      <c r="W29" s="57">
        <v>1</v>
      </c>
      <c r="X29" s="57">
        <v>0</v>
      </c>
    </row>
    <row r="30" spans="1:28" x14ac:dyDescent="0.2">
      <c r="P30" s="55" t="s">
        <v>391</v>
      </c>
      <c r="Q30" s="57">
        <v>0</v>
      </c>
      <c r="R30" s="27">
        <v>0</v>
      </c>
      <c r="S30" s="27">
        <v>0</v>
      </c>
      <c r="T30" s="26">
        <v>0</v>
      </c>
      <c r="U30" s="60">
        <v>0</v>
      </c>
      <c r="V30" s="60">
        <v>1</v>
      </c>
      <c r="W30" s="58">
        <v>0</v>
      </c>
      <c r="X30" s="57">
        <v>1</v>
      </c>
    </row>
    <row r="31" spans="1:28" x14ac:dyDescent="0.2">
      <c r="P31" s="55" t="s">
        <v>392</v>
      </c>
      <c r="Q31" s="57">
        <v>-2</v>
      </c>
      <c r="R31" s="27">
        <v>0</v>
      </c>
      <c r="S31" s="27">
        <v>0</v>
      </c>
      <c r="T31" s="26">
        <v>0</v>
      </c>
      <c r="U31" s="60">
        <v>0</v>
      </c>
      <c r="V31" s="60">
        <v>1</v>
      </c>
      <c r="W31" s="58">
        <v>0</v>
      </c>
      <c r="X31" s="57">
        <v>1</v>
      </c>
    </row>
    <row r="32" spans="1:28" x14ac:dyDescent="0.2">
      <c r="P32" s="55" t="s">
        <v>393</v>
      </c>
      <c r="Q32" s="57">
        <v>3</v>
      </c>
      <c r="R32" s="27">
        <v>0</v>
      </c>
      <c r="S32" s="27">
        <v>0</v>
      </c>
      <c r="T32" s="26">
        <v>0</v>
      </c>
      <c r="U32" s="60">
        <v>0</v>
      </c>
      <c r="V32" s="60">
        <v>1</v>
      </c>
      <c r="W32" s="57">
        <v>-1</v>
      </c>
      <c r="X32" s="57">
        <v>1</v>
      </c>
    </row>
    <row r="33" spans="12:24" x14ac:dyDescent="0.2">
      <c r="P33" s="55" t="s">
        <v>394</v>
      </c>
      <c r="Q33" s="57">
        <v>8</v>
      </c>
      <c r="R33" s="27">
        <f ca="1">ABS(IF(M27="Wins by 20+",0.4,IF(L27="Wins by 20+",0,IF(L27&gt;M27,VLOOKUP(L27,'TL6-12 Tables'!A111:D132,3,FALSE),VLOOKUP(M27,'TL6-12 Tables'!A111:D132,2,FALSE)))))</f>
        <v>0.15</v>
      </c>
      <c r="S33" s="27">
        <f ca="1">ABS(IF(M27="Wins by 20+",0.4,IF(L27="Wins by 20+",0,IF(L27&gt;M27,VLOOKUP(L27,'TL6-12 Tables'!A111:D132,3,FALSE),VLOOKUP(M27,'TL6-12 Tables'!A111:D132,2,FALSE)))))</f>
        <v>0.15</v>
      </c>
      <c r="T33" s="27">
        <v>0.1</v>
      </c>
      <c r="U33" s="60">
        <v>0</v>
      </c>
      <c r="V33" s="60">
        <v>1</v>
      </c>
      <c r="W33" s="58">
        <v>0</v>
      </c>
      <c r="X33" s="57">
        <v>1</v>
      </c>
    </row>
    <row r="34" spans="12:24" x14ac:dyDescent="0.2">
      <c r="P34" s="55" t="s">
        <v>395</v>
      </c>
      <c r="Q34" s="57">
        <f ca="1">COUNTIF(M6,"&gt;0")+COUNTIF(M4,"&gt;0")+COUNTIF(M8,"&gt;0")+COUNTIF(M11,"&gt;0")</f>
        <v>0</v>
      </c>
      <c r="R34" s="27">
        <v>0</v>
      </c>
      <c r="S34" s="27">
        <v>0</v>
      </c>
      <c r="T34" s="26">
        <v>0</v>
      </c>
      <c r="U34" s="60">
        <v>0</v>
      </c>
      <c r="V34" s="60">
        <v>1</v>
      </c>
      <c r="W34" s="58">
        <v>0</v>
      </c>
      <c r="X34" s="57">
        <v>1</v>
      </c>
    </row>
    <row r="35" spans="12:24" x14ac:dyDescent="0.2">
      <c r="P35" s="55" t="s">
        <v>396</v>
      </c>
      <c r="Q35" s="57">
        <f ca="1">IF(OR(M6&gt;0,M7&gt;0,M3&gt;0),3,2)</f>
        <v>2</v>
      </c>
      <c r="R35" s="27">
        <v>0</v>
      </c>
      <c r="S35" s="27">
        <v>0</v>
      </c>
      <c r="T35" s="26">
        <v>0.05</v>
      </c>
      <c r="U35" s="60">
        <v>0</v>
      </c>
      <c r="V35" s="57">
        <v>0.5</v>
      </c>
      <c r="W35" s="58">
        <v>0</v>
      </c>
      <c r="X35" s="57">
        <v>0</v>
      </c>
    </row>
    <row r="36" spans="12:24" x14ac:dyDescent="0.2">
      <c r="R36" s="26"/>
    </row>
    <row r="37" spans="12:24" x14ac:dyDescent="0.2">
      <c r="L37" s="26"/>
    </row>
    <row r="38" spans="12:24" x14ac:dyDescent="0.2">
      <c r="L38" s="26"/>
    </row>
  </sheetData>
  <mergeCells count="7">
    <mergeCell ref="H14:I14"/>
    <mergeCell ref="H18:I18"/>
    <mergeCell ref="H19:I19"/>
    <mergeCell ref="H13:I13"/>
    <mergeCell ref="H15:I15"/>
    <mergeCell ref="H17:I17"/>
    <mergeCell ref="H16:I16"/>
  </mergeCells>
  <phoneticPr fontId="1" type="noConversion"/>
  <dataValidations count="1">
    <dataValidation type="list" allowBlank="1" showInputMessage="1" showErrorMessage="1" sqref="L13:M13">
      <formula1>$P$2:$P$17</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156"/>
  <sheetViews>
    <sheetView topLeftCell="A97" workbookViewId="0">
      <selection activeCell="A108" sqref="A108"/>
    </sheetView>
  </sheetViews>
  <sheetFormatPr defaultRowHeight="12.75" x14ac:dyDescent="0.2"/>
  <cols>
    <col min="1" max="1" width="15.5703125" customWidth="1"/>
  </cols>
  <sheetData>
    <row r="1" spans="1:8" x14ac:dyDescent="0.2">
      <c r="B1" s="24"/>
      <c r="D1" s="24"/>
      <c r="H1" s="2"/>
    </row>
    <row r="2" spans="1:8" x14ac:dyDescent="0.2">
      <c r="B2" s="24" t="s">
        <v>159</v>
      </c>
      <c r="D2" s="24" t="s">
        <v>161</v>
      </c>
      <c r="E2" t="s">
        <v>159</v>
      </c>
      <c r="G2" s="12" t="s">
        <v>164</v>
      </c>
      <c r="H2" s="2"/>
    </row>
    <row r="3" spans="1:8" x14ac:dyDescent="0.2">
      <c r="A3">
        <v>0</v>
      </c>
      <c r="B3" s="24">
        <v>0</v>
      </c>
      <c r="D3" s="24">
        <v>0</v>
      </c>
      <c r="E3">
        <v>0</v>
      </c>
      <c r="G3" s="12" t="s">
        <v>165</v>
      </c>
      <c r="H3" s="2"/>
    </row>
    <row r="4" spans="1:8" x14ac:dyDescent="0.2">
      <c r="A4">
        <f t="shared" ref="A4:A35" si="0">A3+0.5</f>
        <v>0.5</v>
      </c>
      <c r="B4" s="24">
        <v>0</v>
      </c>
      <c r="D4" s="24">
        <f t="shared" ref="D4:D13" si="1">D3+0.5</f>
        <v>0.5</v>
      </c>
      <c r="E4">
        <v>0</v>
      </c>
      <c r="H4" s="2"/>
    </row>
    <row r="5" spans="1:8" x14ac:dyDescent="0.2">
      <c r="A5">
        <f t="shared" si="0"/>
        <v>1</v>
      </c>
      <c r="B5" s="24">
        <v>0</v>
      </c>
      <c r="D5" s="24">
        <f t="shared" si="1"/>
        <v>1</v>
      </c>
      <c r="E5">
        <v>0</v>
      </c>
      <c r="H5" s="2"/>
    </row>
    <row r="6" spans="1:8" x14ac:dyDescent="0.2">
      <c r="A6">
        <f t="shared" si="0"/>
        <v>1.5</v>
      </c>
      <c r="B6" s="24">
        <v>2</v>
      </c>
      <c r="D6" s="24">
        <f t="shared" si="1"/>
        <v>1.5</v>
      </c>
      <c r="E6">
        <v>0</v>
      </c>
      <c r="H6" s="2"/>
    </row>
    <row r="7" spans="1:8" x14ac:dyDescent="0.2">
      <c r="A7">
        <f t="shared" si="0"/>
        <v>2</v>
      </c>
      <c r="B7" s="24">
        <v>4</v>
      </c>
      <c r="D7" s="24">
        <f t="shared" si="1"/>
        <v>2</v>
      </c>
      <c r="E7">
        <v>1</v>
      </c>
      <c r="H7" s="2"/>
    </row>
    <row r="8" spans="1:8" x14ac:dyDescent="0.2">
      <c r="A8">
        <f t="shared" si="0"/>
        <v>2.5</v>
      </c>
      <c r="B8" s="24">
        <v>4</v>
      </c>
      <c r="D8" s="24">
        <f t="shared" si="1"/>
        <v>2.5</v>
      </c>
      <c r="E8">
        <v>1</v>
      </c>
      <c r="H8" s="2"/>
    </row>
    <row r="9" spans="1:8" x14ac:dyDescent="0.2">
      <c r="A9">
        <f t="shared" si="0"/>
        <v>3</v>
      </c>
      <c r="B9" s="24">
        <v>6</v>
      </c>
      <c r="D9" s="24">
        <f t="shared" si="1"/>
        <v>3</v>
      </c>
      <c r="E9">
        <v>2</v>
      </c>
      <c r="H9" s="2"/>
    </row>
    <row r="10" spans="1:8" x14ac:dyDescent="0.2">
      <c r="A10">
        <f t="shared" si="0"/>
        <v>3.5</v>
      </c>
      <c r="B10" s="24">
        <v>6</v>
      </c>
      <c r="D10" s="24">
        <f t="shared" si="1"/>
        <v>3.5</v>
      </c>
      <c r="E10">
        <v>2</v>
      </c>
      <c r="H10" s="2"/>
    </row>
    <row r="11" spans="1:8" x14ac:dyDescent="0.2">
      <c r="A11">
        <f t="shared" si="0"/>
        <v>4</v>
      </c>
      <c r="B11" s="24">
        <v>6</v>
      </c>
      <c r="D11" s="24">
        <f t="shared" si="1"/>
        <v>4</v>
      </c>
      <c r="E11">
        <v>2</v>
      </c>
      <c r="H11" s="2"/>
    </row>
    <row r="12" spans="1:8" x14ac:dyDescent="0.2">
      <c r="A12">
        <f t="shared" si="0"/>
        <v>4.5</v>
      </c>
      <c r="B12" s="24">
        <v>6</v>
      </c>
      <c r="D12" s="24">
        <f t="shared" si="1"/>
        <v>4.5</v>
      </c>
      <c r="E12">
        <v>2</v>
      </c>
      <c r="H12" s="2"/>
    </row>
    <row r="13" spans="1:8" x14ac:dyDescent="0.2">
      <c r="A13">
        <f t="shared" si="0"/>
        <v>5</v>
      </c>
      <c r="B13" s="24">
        <v>8</v>
      </c>
      <c r="D13" s="24">
        <f t="shared" si="1"/>
        <v>5</v>
      </c>
      <c r="E13">
        <v>3</v>
      </c>
      <c r="H13" s="2"/>
    </row>
    <row r="14" spans="1:8" x14ac:dyDescent="0.2">
      <c r="A14">
        <f t="shared" si="0"/>
        <v>5.5</v>
      </c>
      <c r="B14" s="24">
        <v>8</v>
      </c>
      <c r="D14" s="24"/>
      <c r="H14" s="2"/>
    </row>
    <row r="15" spans="1:8" x14ac:dyDescent="0.2">
      <c r="A15">
        <f t="shared" si="0"/>
        <v>6</v>
      </c>
      <c r="B15" s="24">
        <v>8</v>
      </c>
      <c r="D15" s="24"/>
      <c r="H15" s="2"/>
    </row>
    <row r="16" spans="1:8" x14ac:dyDescent="0.2">
      <c r="A16">
        <f t="shared" si="0"/>
        <v>6.5</v>
      </c>
      <c r="B16" s="24">
        <v>8</v>
      </c>
      <c r="D16" s="24"/>
      <c r="H16" s="2"/>
    </row>
    <row r="17" spans="1:8" x14ac:dyDescent="0.2">
      <c r="A17">
        <f t="shared" si="0"/>
        <v>7</v>
      </c>
      <c r="B17" s="24">
        <v>10</v>
      </c>
      <c r="D17" s="24"/>
      <c r="H17" s="2"/>
    </row>
    <row r="18" spans="1:8" x14ac:dyDescent="0.2">
      <c r="A18">
        <f t="shared" si="0"/>
        <v>7.5</v>
      </c>
      <c r="B18" s="24">
        <v>10</v>
      </c>
      <c r="D18" s="24"/>
      <c r="H18" s="2"/>
    </row>
    <row r="19" spans="1:8" x14ac:dyDescent="0.2">
      <c r="A19">
        <f t="shared" si="0"/>
        <v>8</v>
      </c>
      <c r="B19" s="24">
        <v>10</v>
      </c>
      <c r="D19" s="24"/>
      <c r="H19" s="2"/>
    </row>
    <row r="20" spans="1:8" x14ac:dyDescent="0.2">
      <c r="A20">
        <f t="shared" si="0"/>
        <v>8.5</v>
      </c>
      <c r="B20" s="24">
        <v>10</v>
      </c>
      <c r="D20" s="24"/>
      <c r="H20" s="2"/>
    </row>
    <row r="21" spans="1:8" x14ac:dyDescent="0.2">
      <c r="A21">
        <f t="shared" si="0"/>
        <v>9</v>
      </c>
      <c r="B21" s="24">
        <v>10</v>
      </c>
      <c r="D21" s="24"/>
      <c r="H21" s="2"/>
    </row>
    <row r="22" spans="1:8" x14ac:dyDescent="0.2">
      <c r="A22">
        <f t="shared" si="0"/>
        <v>9.5</v>
      </c>
      <c r="B22" s="24">
        <v>10</v>
      </c>
      <c r="D22" s="24"/>
      <c r="H22" s="2"/>
    </row>
    <row r="23" spans="1:8" x14ac:dyDescent="0.2">
      <c r="A23">
        <f t="shared" si="0"/>
        <v>10</v>
      </c>
      <c r="B23" s="24">
        <v>12</v>
      </c>
      <c r="D23" s="24"/>
      <c r="H23" s="2"/>
    </row>
    <row r="24" spans="1:8" x14ac:dyDescent="0.2">
      <c r="A24">
        <f t="shared" si="0"/>
        <v>10.5</v>
      </c>
      <c r="B24" s="24">
        <v>12</v>
      </c>
      <c r="D24" s="24"/>
      <c r="H24" s="2"/>
    </row>
    <row r="25" spans="1:8" x14ac:dyDescent="0.2">
      <c r="A25">
        <f t="shared" si="0"/>
        <v>11</v>
      </c>
      <c r="B25" s="24">
        <v>12</v>
      </c>
      <c r="D25" s="24"/>
      <c r="H25" s="2"/>
    </row>
    <row r="26" spans="1:8" x14ac:dyDescent="0.2">
      <c r="A26">
        <f t="shared" si="0"/>
        <v>11.5</v>
      </c>
      <c r="B26" s="24">
        <v>12</v>
      </c>
      <c r="D26" s="24"/>
      <c r="H26" s="2"/>
    </row>
    <row r="27" spans="1:8" x14ac:dyDescent="0.2">
      <c r="A27">
        <f t="shared" si="0"/>
        <v>12</v>
      </c>
      <c r="B27" s="24">
        <v>12</v>
      </c>
      <c r="D27" s="24"/>
      <c r="H27" s="2"/>
    </row>
    <row r="28" spans="1:8" x14ac:dyDescent="0.2">
      <c r="A28">
        <f t="shared" si="0"/>
        <v>12.5</v>
      </c>
      <c r="B28" s="24">
        <v>12</v>
      </c>
      <c r="D28" s="24"/>
      <c r="H28" s="2"/>
    </row>
    <row r="29" spans="1:8" x14ac:dyDescent="0.2">
      <c r="A29">
        <f t="shared" si="0"/>
        <v>13</v>
      </c>
      <c r="B29" s="24">
        <v>12</v>
      </c>
      <c r="D29" s="24"/>
      <c r="H29" s="2"/>
    </row>
    <row r="30" spans="1:8" x14ac:dyDescent="0.2">
      <c r="A30">
        <f t="shared" si="0"/>
        <v>13.5</v>
      </c>
      <c r="B30" s="24">
        <v>12</v>
      </c>
      <c r="D30" s="24"/>
      <c r="H30" s="2"/>
    </row>
    <row r="31" spans="1:8" x14ac:dyDescent="0.2">
      <c r="A31">
        <f t="shared" si="0"/>
        <v>14</v>
      </c>
      <c r="B31" s="24">
        <v>12</v>
      </c>
      <c r="D31" s="24"/>
      <c r="H31" s="2"/>
    </row>
    <row r="32" spans="1:8" x14ac:dyDescent="0.2">
      <c r="A32">
        <f t="shared" si="0"/>
        <v>14.5</v>
      </c>
      <c r="B32" s="24">
        <v>12</v>
      </c>
      <c r="D32" s="24"/>
      <c r="H32" s="2"/>
    </row>
    <row r="33" spans="1:8" x14ac:dyDescent="0.2">
      <c r="A33">
        <f t="shared" si="0"/>
        <v>15</v>
      </c>
      <c r="B33" s="24">
        <v>14</v>
      </c>
      <c r="D33" s="24"/>
      <c r="H33" s="2"/>
    </row>
    <row r="34" spans="1:8" x14ac:dyDescent="0.2">
      <c r="A34">
        <f t="shared" si="0"/>
        <v>15.5</v>
      </c>
      <c r="B34" s="24">
        <v>14</v>
      </c>
      <c r="D34" s="24"/>
      <c r="H34" s="2"/>
    </row>
    <row r="35" spans="1:8" x14ac:dyDescent="0.2">
      <c r="A35">
        <f t="shared" si="0"/>
        <v>16</v>
      </c>
      <c r="B35" s="24">
        <v>14</v>
      </c>
      <c r="D35" s="24"/>
      <c r="H35" s="2"/>
    </row>
    <row r="36" spans="1:8" x14ac:dyDescent="0.2">
      <c r="A36">
        <f t="shared" ref="A36:A67" si="2">A35+0.5</f>
        <v>16.5</v>
      </c>
      <c r="B36" s="24">
        <v>14</v>
      </c>
      <c r="D36" s="24"/>
      <c r="H36" s="2"/>
    </row>
    <row r="37" spans="1:8" x14ac:dyDescent="0.2">
      <c r="A37">
        <f t="shared" si="2"/>
        <v>17</v>
      </c>
      <c r="B37" s="24">
        <v>14</v>
      </c>
      <c r="D37" s="24"/>
      <c r="H37" s="2"/>
    </row>
    <row r="38" spans="1:8" x14ac:dyDescent="0.2">
      <c r="A38">
        <f t="shared" si="2"/>
        <v>17.5</v>
      </c>
      <c r="B38" s="24">
        <v>14</v>
      </c>
      <c r="D38" s="24"/>
      <c r="H38" s="2"/>
    </row>
    <row r="39" spans="1:8" x14ac:dyDescent="0.2">
      <c r="A39">
        <f t="shared" si="2"/>
        <v>18</v>
      </c>
      <c r="B39" s="24">
        <v>14</v>
      </c>
      <c r="D39" s="24"/>
      <c r="H39" s="2"/>
    </row>
    <row r="40" spans="1:8" x14ac:dyDescent="0.2">
      <c r="A40">
        <f t="shared" si="2"/>
        <v>18.5</v>
      </c>
      <c r="B40" s="24">
        <v>14</v>
      </c>
      <c r="D40" s="24"/>
      <c r="H40" s="2"/>
    </row>
    <row r="41" spans="1:8" x14ac:dyDescent="0.2">
      <c r="A41">
        <f t="shared" si="2"/>
        <v>19</v>
      </c>
      <c r="B41" s="24">
        <v>14</v>
      </c>
      <c r="D41" s="24"/>
      <c r="H41" s="2"/>
    </row>
    <row r="42" spans="1:8" x14ac:dyDescent="0.2">
      <c r="A42">
        <f t="shared" si="2"/>
        <v>19.5</v>
      </c>
      <c r="B42" s="24">
        <v>14</v>
      </c>
      <c r="D42" s="24"/>
      <c r="H42" s="2"/>
    </row>
    <row r="43" spans="1:8" x14ac:dyDescent="0.2">
      <c r="A43">
        <f t="shared" si="2"/>
        <v>20</v>
      </c>
      <c r="B43" s="24">
        <v>16</v>
      </c>
      <c r="D43" s="24"/>
      <c r="H43" s="2"/>
    </row>
    <row r="44" spans="1:8" x14ac:dyDescent="0.2">
      <c r="A44">
        <f t="shared" si="2"/>
        <v>20.5</v>
      </c>
      <c r="B44" s="24">
        <v>16</v>
      </c>
      <c r="D44" s="24"/>
      <c r="H44" s="2"/>
    </row>
    <row r="45" spans="1:8" x14ac:dyDescent="0.2">
      <c r="A45">
        <f t="shared" si="2"/>
        <v>21</v>
      </c>
      <c r="B45" s="24">
        <v>16</v>
      </c>
      <c r="D45" s="24"/>
      <c r="H45" s="2"/>
    </row>
    <row r="46" spans="1:8" x14ac:dyDescent="0.2">
      <c r="A46">
        <f t="shared" si="2"/>
        <v>21.5</v>
      </c>
      <c r="B46" s="24">
        <v>16</v>
      </c>
      <c r="D46" s="24"/>
      <c r="H46" s="2"/>
    </row>
    <row r="47" spans="1:8" x14ac:dyDescent="0.2">
      <c r="A47">
        <f t="shared" si="2"/>
        <v>22</v>
      </c>
      <c r="B47" s="24">
        <v>16</v>
      </c>
      <c r="D47" s="24"/>
      <c r="H47" s="2"/>
    </row>
    <row r="48" spans="1:8" x14ac:dyDescent="0.2">
      <c r="A48">
        <f t="shared" si="2"/>
        <v>22.5</v>
      </c>
      <c r="B48" s="24">
        <v>16</v>
      </c>
      <c r="D48" s="24"/>
      <c r="H48" s="2"/>
    </row>
    <row r="49" spans="1:8" x14ac:dyDescent="0.2">
      <c r="A49">
        <f t="shared" si="2"/>
        <v>23</v>
      </c>
      <c r="B49" s="24">
        <v>16</v>
      </c>
      <c r="D49" s="24"/>
      <c r="H49" s="2"/>
    </row>
    <row r="50" spans="1:8" x14ac:dyDescent="0.2">
      <c r="A50">
        <f t="shared" si="2"/>
        <v>23.5</v>
      </c>
      <c r="B50" s="24">
        <v>16</v>
      </c>
      <c r="D50" s="24"/>
      <c r="H50" s="2"/>
    </row>
    <row r="51" spans="1:8" x14ac:dyDescent="0.2">
      <c r="A51">
        <f t="shared" si="2"/>
        <v>24</v>
      </c>
      <c r="B51" s="24">
        <v>16</v>
      </c>
      <c r="D51" s="24"/>
      <c r="H51" s="2"/>
    </row>
    <row r="52" spans="1:8" x14ac:dyDescent="0.2">
      <c r="A52">
        <f t="shared" si="2"/>
        <v>24.5</v>
      </c>
      <c r="B52" s="24">
        <v>16</v>
      </c>
      <c r="D52" s="24"/>
      <c r="H52" s="2"/>
    </row>
    <row r="53" spans="1:8" x14ac:dyDescent="0.2">
      <c r="A53">
        <f t="shared" si="2"/>
        <v>25</v>
      </c>
      <c r="B53" s="24">
        <v>16</v>
      </c>
      <c r="D53" s="24"/>
      <c r="H53" s="2"/>
    </row>
    <row r="54" spans="1:8" x14ac:dyDescent="0.2">
      <c r="A54">
        <f t="shared" si="2"/>
        <v>25.5</v>
      </c>
      <c r="B54" s="24">
        <v>16</v>
      </c>
      <c r="D54" s="24"/>
      <c r="H54" s="2"/>
    </row>
    <row r="55" spans="1:8" x14ac:dyDescent="0.2">
      <c r="A55">
        <f t="shared" si="2"/>
        <v>26</v>
      </c>
      <c r="B55" s="24">
        <v>16</v>
      </c>
      <c r="D55" s="24"/>
      <c r="H55" s="2"/>
    </row>
    <row r="56" spans="1:8" x14ac:dyDescent="0.2">
      <c r="A56">
        <f t="shared" si="2"/>
        <v>26.5</v>
      </c>
      <c r="B56" s="24">
        <v>16</v>
      </c>
      <c r="D56" s="24"/>
      <c r="H56" s="2"/>
    </row>
    <row r="57" spans="1:8" x14ac:dyDescent="0.2">
      <c r="A57">
        <f t="shared" si="2"/>
        <v>27</v>
      </c>
      <c r="B57" s="24">
        <v>16</v>
      </c>
      <c r="D57" s="24"/>
      <c r="H57" s="2"/>
    </row>
    <row r="58" spans="1:8" x14ac:dyDescent="0.2">
      <c r="A58">
        <f t="shared" si="2"/>
        <v>27.5</v>
      </c>
      <c r="B58" s="24">
        <v>16</v>
      </c>
      <c r="D58" s="24"/>
      <c r="H58" s="2"/>
    </row>
    <row r="59" spans="1:8" x14ac:dyDescent="0.2">
      <c r="A59">
        <f t="shared" si="2"/>
        <v>28</v>
      </c>
      <c r="B59" s="24">
        <v>16</v>
      </c>
      <c r="D59" s="24"/>
      <c r="H59" s="2"/>
    </row>
    <row r="60" spans="1:8" x14ac:dyDescent="0.2">
      <c r="A60">
        <f t="shared" si="2"/>
        <v>28.5</v>
      </c>
      <c r="B60" s="24">
        <v>16</v>
      </c>
      <c r="D60" s="24"/>
      <c r="H60" s="2"/>
    </row>
    <row r="61" spans="1:8" x14ac:dyDescent="0.2">
      <c r="A61">
        <f t="shared" si="2"/>
        <v>29</v>
      </c>
      <c r="B61" s="24">
        <v>16</v>
      </c>
      <c r="D61" s="24"/>
      <c r="H61" s="2"/>
    </row>
    <row r="62" spans="1:8" x14ac:dyDescent="0.2">
      <c r="A62">
        <f t="shared" si="2"/>
        <v>29.5</v>
      </c>
      <c r="B62" s="24">
        <v>16</v>
      </c>
      <c r="D62" s="24"/>
      <c r="H62" s="2"/>
    </row>
    <row r="63" spans="1:8" x14ac:dyDescent="0.2">
      <c r="A63">
        <f t="shared" si="2"/>
        <v>30</v>
      </c>
      <c r="B63" s="24">
        <v>18</v>
      </c>
      <c r="D63" s="24"/>
      <c r="H63" s="2"/>
    </row>
    <row r="64" spans="1:8" x14ac:dyDescent="0.2">
      <c r="A64">
        <f t="shared" si="2"/>
        <v>30.5</v>
      </c>
      <c r="B64" s="24">
        <v>18</v>
      </c>
      <c r="D64" s="24"/>
      <c r="H64" s="2"/>
    </row>
    <row r="65" spans="1:8" x14ac:dyDescent="0.2">
      <c r="A65">
        <f t="shared" si="2"/>
        <v>31</v>
      </c>
      <c r="B65" s="24">
        <v>18</v>
      </c>
      <c r="D65" s="24"/>
      <c r="H65" s="2"/>
    </row>
    <row r="66" spans="1:8" x14ac:dyDescent="0.2">
      <c r="A66">
        <f t="shared" si="2"/>
        <v>31.5</v>
      </c>
      <c r="B66" s="24">
        <v>18</v>
      </c>
      <c r="D66" s="24"/>
      <c r="H66" s="2"/>
    </row>
    <row r="67" spans="1:8" x14ac:dyDescent="0.2">
      <c r="A67">
        <f t="shared" si="2"/>
        <v>32</v>
      </c>
      <c r="B67" s="24">
        <v>18</v>
      </c>
      <c r="D67" s="24"/>
      <c r="H67" s="2"/>
    </row>
    <row r="68" spans="1:8" x14ac:dyDescent="0.2">
      <c r="A68">
        <f t="shared" ref="A68:A103" si="3">A67+0.5</f>
        <v>32.5</v>
      </c>
      <c r="B68" s="24">
        <v>18</v>
      </c>
      <c r="D68" s="24"/>
      <c r="H68" s="2"/>
    </row>
    <row r="69" spans="1:8" x14ac:dyDescent="0.2">
      <c r="A69">
        <f t="shared" si="3"/>
        <v>33</v>
      </c>
      <c r="B69" s="24">
        <v>18</v>
      </c>
      <c r="D69" s="24"/>
      <c r="H69" s="2"/>
    </row>
    <row r="70" spans="1:8" x14ac:dyDescent="0.2">
      <c r="A70">
        <f t="shared" si="3"/>
        <v>33.5</v>
      </c>
      <c r="B70" s="24">
        <v>18</v>
      </c>
      <c r="D70" s="24"/>
      <c r="H70" s="2"/>
    </row>
    <row r="71" spans="1:8" x14ac:dyDescent="0.2">
      <c r="A71">
        <f t="shared" si="3"/>
        <v>34</v>
      </c>
      <c r="B71" s="24">
        <v>18</v>
      </c>
      <c r="D71" s="24"/>
      <c r="H71" s="2"/>
    </row>
    <row r="72" spans="1:8" x14ac:dyDescent="0.2">
      <c r="A72">
        <f t="shared" si="3"/>
        <v>34.5</v>
      </c>
      <c r="B72" s="24">
        <v>18</v>
      </c>
      <c r="D72" s="24"/>
      <c r="H72" s="2"/>
    </row>
    <row r="73" spans="1:8" x14ac:dyDescent="0.2">
      <c r="A73">
        <f t="shared" si="3"/>
        <v>35</v>
      </c>
      <c r="B73" s="24">
        <v>18</v>
      </c>
      <c r="D73" s="24"/>
      <c r="H73" s="2"/>
    </row>
    <row r="74" spans="1:8" x14ac:dyDescent="0.2">
      <c r="A74">
        <f t="shared" si="3"/>
        <v>35.5</v>
      </c>
      <c r="B74" s="24">
        <v>18</v>
      </c>
      <c r="D74" s="24"/>
      <c r="H74" s="2"/>
    </row>
    <row r="75" spans="1:8" x14ac:dyDescent="0.2">
      <c r="A75">
        <f t="shared" si="3"/>
        <v>36</v>
      </c>
      <c r="B75" s="24">
        <v>18</v>
      </c>
      <c r="D75" s="24"/>
      <c r="H75" s="2"/>
    </row>
    <row r="76" spans="1:8" x14ac:dyDescent="0.2">
      <c r="A76">
        <f t="shared" si="3"/>
        <v>36.5</v>
      </c>
      <c r="B76" s="24">
        <v>18</v>
      </c>
      <c r="D76" s="24"/>
      <c r="H76" s="2"/>
    </row>
    <row r="77" spans="1:8" x14ac:dyDescent="0.2">
      <c r="A77">
        <f t="shared" si="3"/>
        <v>37</v>
      </c>
      <c r="B77" s="24">
        <v>18</v>
      </c>
      <c r="D77" s="24"/>
      <c r="H77" s="2"/>
    </row>
    <row r="78" spans="1:8" x14ac:dyDescent="0.2">
      <c r="A78">
        <f t="shared" si="3"/>
        <v>37.5</v>
      </c>
      <c r="B78" s="24">
        <v>18</v>
      </c>
      <c r="D78" s="24"/>
      <c r="H78" s="2"/>
    </row>
    <row r="79" spans="1:8" x14ac:dyDescent="0.2">
      <c r="A79">
        <f t="shared" si="3"/>
        <v>38</v>
      </c>
      <c r="B79" s="24">
        <v>18</v>
      </c>
      <c r="D79" s="24"/>
      <c r="H79" s="2"/>
    </row>
    <row r="80" spans="1:8" x14ac:dyDescent="0.2">
      <c r="A80">
        <f t="shared" si="3"/>
        <v>38.5</v>
      </c>
      <c r="B80" s="24">
        <v>18</v>
      </c>
      <c r="D80" s="24"/>
      <c r="H80" s="2"/>
    </row>
    <row r="81" spans="1:8" x14ac:dyDescent="0.2">
      <c r="A81">
        <f t="shared" si="3"/>
        <v>39</v>
      </c>
      <c r="B81" s="24">
        <v>18</v>
      </c>
      <c r="D81" s="24"/>
      <c r="H81" s="2"/>
    </row>
    <row r="82" spans="1:8" x14ac:dyDescent="0.2">
      <c r="A82">
        <f t="shared" si="3"/>
        <v>39.5</v>
      </c>
      <c r="B82" s="24">
        <v>18</v>
      </c>
      <c r="D82" s="24"/>
      <c r="H82" s="2"/>
    </row>
    <row r="83" spans="1:8" x14ac:dyDescent="0.2">
      <c r="A83">
        <f t="shared" si="3"/>
        <v>40</v>
      </c>
      <c r="B83" s="24">
        <v>18</v>
      </c>
      <c r="D83" s="24"/>
      <c r="H83" s="2"/>
    </row>
    <row r="84" spans="1:8" x14ac:dyDescent="0.2">
      <c r="A84">
        <f t="shared" si="3"/>
        <v>40.5</v>
      </c>
      <c r="B84" s="24">
        <v>18</v>
      </c>
      <c r="D84" s="24"/>
      <c r="H84" s="2"/>
    </row>
    <row r="85" spans="1:8" x14ac:dyDescent="0.2">
      <c r="A85">
        <f t="shared" si="3"/>
        <v>41</v>
      </c>
      <c r="B85" s="24">
        <v>18</v>
      </c>
      <c r="D85" s="24"/>
      <c r="H85" s="2"/>
    </row>
    <row r="86" spans="1:8" x14ac:dyDescent="0.2">
      <c r="A86">
        <f t="shared" si="3"/>
        <v>41.5</v>
      </c>
      <c r="B86" s="24">
        <v>18</v>
      </c>
      <c r="D86" s="24"/>
      <c r="H86" s="2"/>
    </row>
    <row r="87" spans="1:8" x14ac:dyDescent="0.2">
      <c r="A87">
        <f t="shared" si="3"/>
        <v>42</v>
      </c>
      <c r="B87" s="24">
        <v>18</v>
      </c>
      <c r="D87" s="24"/>
      <c r="H87" s="2"/>
    </row>
    <row r="88" spans="1:8" x14ac:dyDescent="0.2">
      <c r="A88">
        <f t="shared" si="3"/>
        <v>42.5</v>
      </c>
      <c r="B88" s="24">
        <v>18</v>
      </c>
      <c r="D88" s="24"/>
      <c r="H88" s="2"/>
    </row>
    <row r="89" spans="1:8" x14ac:dyDescent="0.2">
      <c r="A89">
        <f t="shared" si="3"/>
        <v>43</v>
      </c>
      <c r="B89" s="24">
        <v>18</v>
      </c>
      <c r="D89" s="24"/>
      <c r="H89" s="2"/>
    </row>
    <row r="90" spans="1:8" x14ac:dyDescent="0.2">
      <c r="A90">
        <f t="shared" si="3"/>
        <v>43.5</v>
      </c>
      <c r="B90" s="24">
        <v>18</v>
      </c>
      <c r="D90" s="24"/>
      <c r="H90" s="2"/>
    </row>
    <row r="91" spans="1:8" x14ac:dyDescent="0.2">
      <c r="A91">
        <f t="shared" si="3"/>
        <v>44</v>
      </c>
      <c r="B91" s="24">
        <v>18</v>
      </c>
      <c r="D91" s="24"/>
      <c r="H91" s="2"/>
    </row>
    <row r="92" spans="1:8" x14ac:dyDescent="0.2">
      <c r="A92">
        <f t="shared" si="3"/>
        <v>44.5</v>
      </c>
      <c r="B92" s="24">
        <v>18</v>
      </c>
      <c r="D92" s="24"/>
      <c r="H92" s="2"/>
    </row>
    <row r="93" spans="1:8" x14ac:dyDescent="0.2">
      <c r="A93">
        <f t="shared" si="3"/>
        <v>45</v>
      </c>
      <c r="B93" s="24">
        <v>18</v>
      </c>
      <c r="D93" s="24"/>
      <c r="H93" s="2"/>
    </row>
    <row r="94" spans="1:8" x14ac:dyDescent="0.2">
      <c r="A94">
        <f t="shared" si="3"/>
        <v>45.5</v>
      </c>
      <c r="B94" s="24">
        <v>18</v>
      </c>
      <c r="D94" s="24"/>
      <c r="H94" s="2"/>
    </row>
    <row r="95" spans="1:8" x14ac:dyDescent="0.2">
      <c r="A95">
        <f t="shared" si="3"/>
        <v>46</v>
      </c>
      <c r="B95" s="24">
        <v>18</v>
      </c>
      <c r="D95" s="24"/>
      <c r="H95" s="2"/>
    </row>
    <row r="96" spans="1:8" x14ac:dyDescent="0.2">
      <c r="A96">
        <f t="shared" si="3"/>
        <v>46.5</v>
      </c>
      <c r="B96" s="24">
        <v>18</v>
      </c>
      <c r="D96" s="24"/>
      <c r="H96" s="2"/>
    </row>
    <row r="97" spans="1:8" x14ac:dyDescent="0.2">
      <c r="A97">
        <f t="shared" si="3"/>
        <v>47</v>
      </c>
      <c r="B97" s="24">
        <v>18</v>
      </c>
      <c r="D97" s="24"/>
      <c r="H97" s="2"/>
    </row>
    <row r="98" spans="1:8" x14ac:dyDescent="0.2">
      <c r="A98">
        <f t="shared" si="3"/>
        <v>47.5</v>
      </c>
      <c r="B98" s="24">
        <v>18</v>
      </c>
      <c r="D98" s="24"/>
      <c r="H98" s="2"/>
    </row>
    <row r="99" spans="1:8" x14ac:dyDescent="0.2">
      <c r="A99">
        <f t="shared" si="3"/>
        <v>48</v>
      </c>
      <c r="B99" s="24">
        <v>18</v>
      </c>
      <c r="D99" s="24"/>
      <c r="H99" s="2"/>
    </row>
    <row r="100" spans="1:8" x14ac:dyDescent="0.2">
      <c r="A100">
        <f t="shared" si="3"/>
        <v>48.5</v>
      </c>
      <c r="B100" s="24">
        <v>18</v>
      </c>
      <c r="D100" s="24"/>
      <c r="H100" s="2"/>
    </row>
    <row r="101" spans="1:8" x14ac:dyDescent="0.2">
      <c r="A101">
        <f t="shared" si="3"/>
        <v>49</v>
      </c>
      <c r="B101" s="24">
        <v>18</v>
      </c>
      <c r="D101" s="24"/>
      <c r="H101" s="2"/>
    </row>
    <row r="102" spans="1:8" x14ac:dyDescent="0.2">
      <c r="A102">
        <f t="shared" si="3"/>
        <v>49.5</v>
      </c>
      <c r="B102" s="24">
        <v>18</v>
      </c>
      <c r="D102" s="24"/>
      <c r="H102" s="2"/>
    </row>
    <row r="103" spans="1:8" x14ac:dyDescent="0.2">
      <c r="A103">
        <f t="shared" si="3"/>
        <v>50</v>
      </c>
      <c r="B103" s="24">
        <v>20</v>
      </c>
      <c r="D103" s="24"/>
      <c r="H103" s="2"/>
    </row>
    <row r="104" spans="1:8" x14ac:dyDescent="0.2">
      <c r="B104" s="24"/>
      <c r="D104" s="24"/>
      <c r="H104" s="2"/>
    </row>
    <row r="105" spans="1:8" x14ac:dyDescent="0.2">
      <c r="B105" s="24"/>
      <c r="D105" s="24"/>
      <c r="H105" s="2"/>
    </row>
    <row r="106" spans="1:8" x14ac:dyDescent="0.2">
      <c r="B106" s="24"/>
      <c r="D106" s="24"/>
      <c r="H106" s="2"/>
    </row>
    <row r="107" spans="1:8" x14ac:dyDescent="0.2">
      <c r="B107" s="24"/>
      <c r="D107" s="24"/>
      <c r="H107" s="2"/>
    </row>
    <row r="108" spans="1:8" x14ac:dyDescent="0.2">
      <c r="B108" s="24"/>
      <c r="D108" s="24"/>
      <c r="H108" s="2"/>
    </row>
    <row r="109" spans="1:8" x14ac:dyDescent="0.2">
      <c r="A109" t="s">
        <v>291</v>
      </c>
      <c r="B109" s="24"/>
      <c r="H109" s="2"/>
    </row>
    <row r="110" spans="1:8" x14ac:dyDescent="0.2">
      <c r="A110" t="s">
        <v>292</v>
      </c>
      <c r="B110" s="28" t="s">
        <v>295</v>
      </c>
      <c r="C110" s="12" t="s">
        <v>294</v>
      </c>
      <c r="D110" t="s">
        <v>293</v>
      </c>
      <c r="H110" s="2"/>
    </row>
    <row r="111" spans="1:8" x14ac:dyDescent="0.2">
      <c r="A111" s="12" t="s">
        <v>316</v>
      </c>
      <c r="B111" s="26">
        <v>-0.1</v>
      </c>
      <c r="C111" s="26">
        <v>-0.1</v>
      </c>
      <c r="D111">
        <v>0</v>
      </c>
      <c r="H111" s="2"/>
    </row>
    <row r="112" spans="1:8" x14ac:dyDescent="0.2">
      <c r="A112" s="12" t="s">
        <v>408</v>
      </c>
      <c r="B112" s="26">
        <v>-0.1</v>
      </c>
      <c r="C112" s="26">
        <v>-0.1</v>
      </c>
      <c r="D112">
        <v>0</v>
      </c>
      <c r="H112" s="2"/>
    </row>
    <row r="113" spans="1:8" x14ac:dyDescent="0.2">
      <c r="A113" s="12" t="s">
        <v>296</v>
      </c>
      <c r="B113" s="26">
        <v>-0.15</v>
      </c>
      <c r="C113" s="26">
        <v>-0.1</v>
      </c>
      <c r="D113">
        <v>1</v>
      </c>
      <c r="H113" s="2"/>
    </row>
    <row r="114" spans="1:8" x14ac:dyDescent="0.2">
      <c r="A114" s="12" t="s">
        <v>297</v>
      </c>
      <c r="B114" s="26">
        <v>-0.15</v>
      </c>
      <c r="C114" s="26">
        <v>-0.1</v>
      </c>
      <c r="D114">
        <v>1</v>
      </c>
      <c r="H114" s="2"/>
    </row>
    <row r="115" spans="1:8" x14ac:dyDescent="0.2">
      <c r="A115" s="12" t="s">
        <v>298</v>
      </c>
      <c r="B115" s="26">
        <v>-0.15</v>
      </c>
      <c r="C115" s="26">
        <v>-0.1</v>
      </c>
      <c r="D115">
        <v>1</v>
      </c>
      <c r="H115" s="2"/>
    </row>
    <row r="116" spans="1:8" x14ac:dyDescent="0.2">
      <c r="A116" s="12" t="s">
        <v>299</v>
      </c>
      <c r="B116" s="26">
        <v>-0.2</v>
      </c>
      <c r="C116" s="26">
        <v>-0.1</v>
      </c>
      <c r="D116">
        <v>2</v>
      </c>
      <c r="H116" s="2"/>
    </row>
    <row r="117" spans="1:8" x14ac:dyDescent="0.2">
      <c r="A117" s="12" t="s">
        <v>300</v>
      </c>
      <c r="B117" s="26">
        <v>-0.2</v>
      </c>
      <c r="C117" s="26">
        <v>-0.1</v>
      </c>
      <c r="D117" s="24">
        <v>2</v>
      </c>
      <c r="H117" s="2"/>
    </row>
    <row r="118" spans="1:8" x14ac:dyDescent="0.2">
      <c r="A118" s="12" t="s">
        <v>301</v>
      </c>
      <c r="B118" s="26">
        <v>-0.2</v>
      </c>
      <c r="C118" s="26">
        <v>-0.1</v>
      </c>
      <c r="D118" s="24">
        <v>2</v>
      </c>
      <c r="H118" s="2"/>
    </row>
    <row r="119" spans="1:8" x14ac:dyDescent="0.2">
      <c r="A119" s="12" t="s">
        <v>302</v>
      </c>
      <c r="B119" s="26">
        <v>-0.25</v>
      </c>
      <c r="C119" s="26">
        <v>-0.05</v>
      </c>
      <c r="D119" s="24">
        <v>2</v>
      </c>
      <c r="H119" s="2"/>
    </row>
    <row r="120" spans="1:8" x14ac:dyDescent="0.2">
      <c r="A120" s="12" t="s">
        <v>303</v>
      </c>
      <c r="B120" s="26">
        <v>-0.25</v>
      </c>
      <c r="C120" s="26">
        <v>-0.05</v>
      </c>
      <c r="D120" s="24">
        <v>2</v>
      </c>
      <c r="H120" s="2"/>
    </row>
    <row r="121" spans="1:8" x14ac:dyDescent="0.2">
      <c r="A121" s="12" t="s">
        <v>304</v>
      </c>
      <c r="B121" s="26">
        <v>-0.25</v>
      </c>
      <c r="C121" s="26">
        <v>-0.05</v>
      </c>
      <c r="D121" s="24">
        <v>2</v>
      </c>
      <c r="H121" s="2"/>
    </row>
    <row r="122" spans="1:8" x14ac:dyDescent="0.2">
      <c r="A122" s="12" t="s">
        <v>305</v>
      </c>
      <c r="B122" s="26">
        <v>-0.3</v>
      </c>
      <c r="C122" s="26">
        <v>-0.05</v>
      </c>
      <c r="D122" s="24">
        <v>3</v>
      </c>
      <c r="H122" s="2"/>
    </row>
    <row r="123" spans="1:8" x14ac:dyDescent="0.2">
      <c r="A123" s="12" t="s">
        <v>306</v>
      </c>
      <c r="B123" s="26">
        <v>-0.3</v>
      </c>
      <c r="C123" s="26">
        <v>-0.05</v>
      </c>
      <c r="D123" s="24">
        <v>3</v>
      </c>
      <c r="H123" s="2"/>
    </row>
    <row r="124" spans="1:8" x14ac:dyDescent="0.2">
      <c r="A124" s="12" t="s">
        <v>307</v>
      </c>
      <c r="B124" s="26">
        <v>-0.3</v>
      </c>
      <c r="C124" s="26">
        <v>-0.05</v>
      </c>
      <c r="D124" s="24">
        <v>3</v>
      </c>
      <c r="H124" s="2"/>
    </row>
    <row r="125" spans="1:8" x14ac:dyDescent="0.2">
      <c r="A125" s="12" t="s">
        <v>308</v>
      </c>
      <c r="B125" s="26">
        <v>-0.3</v>
      </c>
      <c r="C125" s="26">
        <v>-0.05</v>
      </c>
      <c r="D125" s="24">
        <v>3</v>
      </c>
      <c r="H125" s="2"/>
    </row>
    <row r="126" spans="1:8" x14ac:dyDescent="0.2">
      <c r="A126" s="12" t="s">
        <v>309</v>
      </c>
      <c r="B126" s="26">
        <v>-0.3</v>
      </c>
      <c r="C126" s="26">
        <v>-0.05</v>
      </c>
      <c r="D126" s="24">
        <v>3</v>
      </c>
      <c r="H126" s="2"/>
    </row>
    <row r="127" spans="1:8" x14ac:dyDescent="0.2">
      <c r="A127" s="12" t="s">
        <v>310</v>
      </c>
      <c r="B127" s="26">
        <v>-0.35</v>
      </c>
      <c r="C127" s="26">
        <v>0</v>
      </c>
      <c r="D127" s="24">
        <v>3</v>
      </c>
      <c r="H127" s="2"/>
    </row>
    <row r="128" spans="1:8" x14ac:dyDescent="0.2">
      <c r="A128" s="12" t="s">
        <v>311</v>
      </c>
      <c r="B128" s="26">
        <v>-0.35</v>
      </c>
      <c r="C128" s="26">
        <v>0</v>
      </c>
      <c r="D128" s="24">
        <v>3</v>
      </c>
      <c r="H128" s="2"/>
    </row>
    <row r="129" spans="1:8" x14ac:dyDescent="0.2">
      <c r="A129" s="12" t="s">
        <v>312</v>
      </c>
      <c r="B129" s="26">
        <v>-0.35</v>
      </c>
      <c r="C129" s="26">
        <v>0</v>
      </c>
      <c r="D129" s="24">
        <v>3</v>
      </c>
      <c r="H129" s="2"/>
    </row>
    <row r="130" spans="1:8" x14ac:dyDescent="0.2">
      <c r="A130" s="12" t="s">
        <v>313</v>
      </c>
      <c r="B130" s="26">
        <v>-0.35</v>
      </c>
      <c r="C130" s="26">
        <v>0</v>
      </c>
      <c r="D130" s="24">
        <v>3</v>
      </c>
      <c r="H130" s="2"/>
    </row>
    <row r="131" spans="1:8" x14ac:dyDescent="0.2">
      <c r="A131" s="12" t="s">
        <v>314</v>
      </c>
      <c r="B131" s="26">
        <v>-0.35</v>
      </c>
      <c r="C131" s="26">
        <v>0</v>
      </c>
      <c r="D131" s="24">
        <v>3</v>
      </c>
      <c r="H131" s="2"/>
    </row>
    <row r="132" spans="1:8" x14ac:dyDescent="0.2">
      <c r="A132" s="12" t="s">
        <v>315</v>
      </c>
      <c r="B132" s="26">
        <v>-0.4</v>
      </c>
      <c r="C132" s="26">
        <v>0</v>
      </c>
      <c r="D132" s="24">
        <v>4</v>
      </c>
      <c r="H132" s="2"/>
    </row>
    <row r="133" spans="1:8" x14ac:dyDescent="0.2">
      <c r="B133" s="24"/>
      <c r="D133" s="24"/>
      <c r="H133" s="2"/>
    </row>
    <row r="134" spans="1:8" x14ac:dyDescent="0.2">
      <c r="B134" s="24"/>
      <c r="D134" s="24"/>
      <c r="H134" s="2"/>
    </row>
    <row r="135" spans="1:8" x14ac:dyDescent="0.2">
      <c r="A135" s="12" t="s">
        <v>282</v>
      </c>
      <c r="B135" s="28" t="s">
        <v>318</v>
      </c>
      <c r="D135" s="24"/>
      <c r="H135" s="2"/>
    </row>
    <row r="136" spans="1:8" x14ac:dyDescent="0.2">
      <c r="A136" s="26">
        <v>0</v>
      </c>
      <c r="B136" s="24">
        <v>0</v>
      </c>
      <c r="D136" s="24"/>
      <c r="H136" s="2"/>
    </row>
    <row r="137" spans="1:8" x14ac:dyDescent="0.2">
      <c r="A137" s="26">
        <v>0.05</v>
      </c>
      <c r="B137" s="24">
        <f t="shared" ref="B137:B156" si="4">B136-1</f>
        <v>-1</v>
      </c>
      <c r="D137" s="24"/>
      <c r="H137" s="2"/>
    </row>
    <row r="138" spans="1:8" x14ac:dyDescent="0.2">
      <c r="A138" s="26">
        <v>0.1</v>
      </c>
      <c r="B138" s="24">
        <f t="shared" si="4"/>
        <v>-2</v>
      </c>
      <c r="D138" s="24"/>
      <c r="H138" s="2"/>
    </row>
    <row r="139" spans="1:8" x14ac:dyDescent="0.2">
      <c r="A139" s="26">
        <v>0.15</v>
      </c>
      <c r="B139" s="24">
        <f t="shared" si="4"/>
        <v>-3</v>
      </c>
      <c r="D139" s="24"/>
      <c r="H139" s="2"/>
    </row>
    <row r="140" spans="1:8" x14ac:dyDescent="0.2">
      <c r="A140" s="26">
        <v>0.2</v>
      </c>
      <c r="B140" s="24">
        <f t="shared" si="4"/>
        <v>-4</v>
      </c>
      <c r="D140" s="24"/>
      <c r="H140" s="2"/>
    </row>
    <row r="141" spans="1:8" x14ac:dyDescent="0.2">
      <c r="A141" s="26">
        <v>0.25</v>
      </c>
      <c r="B141" s="24">
        <f t="shared" si="4"/>
        <v>-5</v>
      </c>
      <c r="D141" s="24"/>
      <c r="H141" s="2"/>
    </row>
    <row r="142" spans="1:8" x14ac:dyDescent="0.2">
      <c r="A142" s="26">
        <v>0.3</v>
      </c>
      <c r="B142" s="24">
        <f t="shared" si="4"/>
        <v>-6</v>
      </c>
      <c r="D142" s="24"/>
      <c r="H142" s="2"/>
    </row>
    <row r="143" spans="1:8" x14ac:dyDescent="0.2">
      <c r="A143" s="26">
        <v>0.35</v>
      </c>
      <c r="B143" s="24">
        <f t="shared" si="4"/>
        <v>-7</v>
      </c>
      <c r="D143" s="24"/>
      <c r="H143" s="2"/>
    </row>
    <row r="144" spans="1:8" x14ac:dyDescent="0.2">
      <c r="A144" s="26">
        <v>0.4</v>
      </c>
      <c r="B144" s="24">
        <f t="shared" si="4"/>
        <v>-8</v>
      </c>
      <c r="D144" s="24"/>
      <c r="H144" s="2"/>
    </row>
    <row r="145" spans="1:8" x14ac:dyDescent="0.2">
      <c r="A145" s="26">
        <v>0.45</v>
      </c>
      <c r="B145" s="24">
        <f t="shared" si="4"/>
        <v>-9</v>
      </c>
      <c r="D145" s="24"/>
      <c r="H145" s="2"/>
    </row>
    <row r="146" spans="1:8" x14ac:dyDescent="0.2">
      <c r="A146" s="26">
        <v>0.5</v>
      </c>
      <c r="B146" s="24">
        <f t="shared" si="4"/>
        <v>-10</v>
      </c>
      <c r="D146" s="24"/>
      <c r="H146" s="2"/>
    </row>
    <row r="147" spans="1:8" x14ac:dyDescent="0.2">
      <c r="A147" s="26">
        <v>0.55000000000000004</v>
      </c>
      <c r="B147" s="24">
        <f t="shared" si="4"/>
        <v>-11</v>
      </c>
      <c r="D147" s="24"/>
      <c r="H147" s="2"/>
    </row>
    <row r="148" spans="1:8" x14ac:dyDescent="0.2">
      <c r="A148" s="26">
        <v>0.6</v>
      </c>
      <c r="B148" s="24">
        <f t="shared" si="4"/>
        <v>-12</v>
      </c>
      <c r="D148" s="24"/>
      <c r="H148" s="2"/>
    </row>
    <row r="149" spans="1:8" x14ac:dyDescent="0.2">
      <c r="A149" s="26">
        <v>0.65</v>
      </c>
      <c r="B149" s="24">
        <f t="shared" si="4"/>
        <v>-13</v>
      </c>
      <c r="D149" s="24"/>
      <c r="H149" s="2"/>
    </row>
    <row r="150" spans="1:8" x14ac:dyDescent="0.2">
      <c r="A150" s="26">
        <v>0.7</v>
      </c>
      <c r="B150" s="24">
        <f t="shared" si="4"/>
        <v>-14</v>
      </c>
      <c r="D150" s="24"/>
      <c r="H150" s="2"/>
    </row>
    <row r="151" spans="1:8" x14ac:dyDescent="0.2">
      <c r="A151" s="26">
        <v>0.75</v>
      </c>
      <c r="B151" s="24">
        <f t="shared" si="4"/>
        <v>-15</v>
      </c>
      <c r="D151" s="24"/>
      <c r="H151" s="2"/>
    </row>
    <row r="152" spans="1:8" x14ac:dyDescent="0.2">
      <c r="A152" s="26">
        <v>0.8</v>
      </c>
      <c r="B152" s="24">
        <f t="shared" si="4"/>
        <v>-16</v>
      </c>
      <c r="D152" s="24"/>
      <c r="H152" s="2"/>
    </row>
    <row r="153" spans="1:8" x14ac:dyDescent="0.2">
      <c r="A153" s="26">
        <v>0.85</v>
      </c>
      <c r="B153" s="24">
        <f t="shared" si="4"/>
        <v>-17</v>
      </c>
      <c r="D153" s="24"/>
      <c r="H153" s="2"/>
    </row>
    <row r="154" spans="1:8" x14ac:dyDescent="0.2">
      <c r="A154" s="26">
        <v>0.9</v>
      </c>
      <c r="B154" s="24">
        <f t="shared" si="4"/>
        <v>-18</v>
      </c>
      <c r="D154" s="24"/>
      <c r="H154" s="2"/>
    </row>
    <row r="155" spans="1:8" x14ac:dyDescent="0.2">
      <c r="A155" s="26">
        <v>0.95</v>
      </c>
      <c r="B155" s="24">
        <f t="shared" si="4"/>
        <v>-19</v>
      </c>
      <c r="D155" s="24"/>
      <c r="H155" s="2"/>
    </row>
    <row r="156" spans="1:8" x14ac:dyDescent="0.2">
      <c r="A156" s="26">
        <v>1</v>
      </c>
      <c r="B156" s="24">
        <f t="shared" si="4"/>
        <v>-20</v>
      </c>
      <c r="D156" s="24"/>
      <c r="H156" s="2"/>
    </row>
  </sheetData>
  <phoneticPr fontId="1"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I155"/>
  <sheetViews>
    <sheetView topLeftCell="A88" workbookViewId="0">
      <selection activeCell="A107" sqref="A107"/>
    </sheetView>
  </sheetViews>
  <sheetFormatPr defaultRowHeight="12.75" x14ac:dyDescent="0.2"/>
  <cols>
    <col min="1" max="1" width="17.42578125" bestFit="1" customWidth="1"/>
  </cols>
  <sheetData>
    <row r="1" spans="1:9" x14ac:dyDescent="0.2">
      <c r="B1" s="24" t="s">
        <v>159</v>
      </c>
      <c r="D1" s="24" t="s">
        <v>161</v>
      </c>
      <c r="E1" t="s">
        <v>159</v>
      </c>
      <c r="G1" s="12" t="s">
        <v>164</v>
      </c>
      <c r="H1" s="2"/>
      <c r="I1" s="2"/>
    </row>
    <row r="2" spans="1:9" x14ac:dyDescent="0.2">
      <c r="A2">
        <v>0</v>
      </c>
      <c r="B2" s="24">
        <v>0</v>
      </c>
      <c r="D2" s="24">
        <v>0</v>
      </c>
      <c r="E2">
        <v>0</v>
      </c>
      <c r="G2" s="12" t="s">
        <v>165</v>
      </c>
      <c r="H2" s="2"/>
      <c r="I2" s="2"/>
    </row>
    <row r="3" spans="1:9" x14ac:dyDescent="0.2">
      <c r="A3">
        <f t="shared" ref="A3:A34" si="0">A2+0.5</f>
        <v>0.5</v>
      </c>
      <c r="B3" s="24">
        <v>0</v>
      </c>
      <c r="D3" s="24">
        <f t="shared" ref="D3:D12" si="1">D2+0.5</f>
        <v>0.5</v>
      </c>
      <c r="E3">
        <v>0</v>
      </c>
      <c r="H3" s="2"/>
      <c r="I3" s="2"/>
    </row>
    <row r="4" spans="1:9" x14ac:dyDescent="0.2">
      <c r="A4">
        <f t="shared" si="0"/>
        <v>1</v>
      </c>
      <c r="B4" s="24">
        <v>0</v>
      </c>
      <c r="D4" s="24">
        <f t="shared" si="1"/>
        <v>1</v>
      </c>
      <c r="E4">
        <v>0</v>
      </c>
      <c r="H4" s="2"/>
      <c r="I4" s="2"/>
    </row>
    <row r="5" spans="1:9" x14ac:dyDescent="0.2">
      <c r="A5">
        <f t="shared" si="0"/>
        <v>1.5</v>
      </c>
      <c r="B5" s="24">
        <v>2</v>
      </c>
      <c r="D5" s="24">
        <f t="shared" si="1"/>
        <v>1.5</v>
      </c>
      <c r="E5">
        <v>0</v>
      </c>
      <c r="H5" s="2"/>
      <c r="I5" s="2"/>
    </row>
    <row r="6" spans="1:9" x14ac:dyDescent="0.2">
      <c r="A6">
        <f t="shared" si="0"/>
        <v>2</v>
      </c>
      <c r="B6" s="24">
        <v>4</v>
      </c>
      <c r="D6" s="24">
        <f t="shared" si="1"/>
        <v>2</v>
      </c>
      <c r="E6">
        <v>1</v>
      </c>
      <c r="H6" s="2"/>
      <c r="I6" s="2"/>
    </row>
    <row r="7" spans="1:9" x14ac:dyDescent="0.2">
      <c r="A7">
        <f t="shared" si="0"/>
        <v>2.5</v>
      </c>
      <c r="B7" s="24">
        <v>4</v>
      </c>
      <c r="D7" s="24">
        <f t="shared" si="1"/>
        <v>2.5</v>
      </c>
      <c r="E7">
        <v>1</v>
      </c>
      <c r="H7" s="2"/>
      <c r="I7" s="2"/>
    </row>
    <row r="8" spans="1:9" x14ac:dyDescent="0.2">
      <c r="A8">
        <f t="shared" si="0"/>
        <v>3</v>
      </c>
      <c r="B8" s="24">
        <v>6</v>
      </c>
      <c r="D8" s="24">
        <f t="shared" si="1"/>
        <v>3</v>
      </c>
      <c r="E8">
        <v>2</v>
      </c>
      <c r="H8" s="2"/>
      <c r="I8" s="2"/>
    </row>
    <row r="9" spans="1:9" x14ac:dyDescent="0.2">
      <c r="A9">
        <f t="shared" si="0"/>
        <v>3.5</v>
      </c>
      <c r="B9" s="24">
        <v>6</v>
      </c>
      <c r="D9" s="24">
        <f t="shared" si="1"/>
        <v>3.5</v>
      </c>
      <c r="E9">
        <v>2</v>
      </c>
      <c r="H9" s="2"/>
      <c r="I9" s="2"/>
    </row>
    <row r="10" spans="1:9" x14ac:dyDescent="0.2">
      <c r="A10">
        <f t="shared" si="0"/>
        <v>4</v>
      </c>
      <c r="B10" s="24">
        <v>6</v>
      </c>
      <c r="D10" s="24">
        <f t="shared" si="1"/>
        <v>4</v>
      </c>
      <c r="E10">
        <v>2</v>
      </c>
      <c r="H10" s="2"/>
      <c r="I10" s="2"/>
    </row>
    <row r="11" spans="1:9" x14ac:dyDescent="0.2">
      <c r="A11">
        <f t="shared" si="0"/>
        <v>4.5</v>
      </c>
      <c r="B11" s="24">
        <v>6</v>
      </c>
      <c r="D11" s="24">
        <f t="shared" si="1"/>
        <v>4.5</v>
      </c>
      <c r="E11">
        <v>2</v>
      </c>
      <c r="H11" s="2"/>
      <c r="I11" s="2"/>
    </row>
    <row r="12" spans="1:9" x14ac:dyDescent="0.2">
      <c r="A12">
        <f t="shared" si="0"/>
        <v>5</v>
      </c>
      <c r="B12" s="24">
        <v>8</v>
      </c>
      <c r="D12" s="24">
        <f t="shared" si="1"/>
        <v>5</v>
      </c>
      <c r="E12">
        <v>3</v>
      </c>
      <c r="H12" s="2"/>
      <c r="I12" s="2"/>
    </row>
    <row r="13" spans="1:9" x14ac:dyDescent="0.2">
      <c r="A13">
        <f t="shared" si="0"/>
        <v>5.5</v>
      </c>
      <c r="B13" s="24">
        <v>8</v>
      </c>
      <c r="H13" s="2"/>
      <c r="I13" s="2"/>
    </row>
    <row r="14" spans="1:9" x14ac:dyDescent="0.2">
      <c r="A14">
        <f t="shared" si="0"/>
        <v>6</v>
      </c>
      <c r="B14" s="24">
        <v>8</v>
      </c>
      <c r="H14" s="2"/>
      <c r="I14" s="2"/>
    </row>
    <row r="15" spans="1:9" x14ac:dyDescent="0.2">
      <c r="A15">
        <f t="shared" si="0"/>
        <v>6.5</v>
      </c>
      <c r="B15" s="24">
        <v>8</v>
      </c>
      <c r="H15" s="2"/>
      <c r="I15" s="2"/>
    </row>
    <row r="16" spans="1:9" x14ac:dyDescent="0.2">
      <c r="A16">
        <f t="shared" si="0"/>
        <v>7</v>
      </c>
      <c r="B16" s="24">
        <v>10</v>
      </c>
      <c r="H16" s="2"/>
      <c r="I16" s="2"/>
    </row>
    <row r="17" spans="1:9" x14ac:dyDescent="0.2">
      <c r="A17">
        <f t="shared" si="0"/>
        <v>7.5</v>
      </c>
      <c r="B17" s="24">
        <v>10</v>
      </c>
      <c r="H17" s="2"/>
      <c r="I17" s="2"/>
    </row>
    <row r="18" spans="1:9" x14ac:dyDescent="0.2">
      <c r="A18">
        <f t="shared" si="0"/>
        <v>8</v>
      </c>
      <c r="B18" s="24">
        <v>10</v>
      </c>
      <c r="H18" s="2"/>
      <c r="I18" s="2"/>
    </row>
    <row r="19" spans="1:9" x14ac:dyDescent="0.2">
      <c r="A19">
        <f t="shared" si="0"/>
        <v>8.5</v>
      </c>
      <c r="B19" s="24">
        <v>10</v>
      </c>
      <c r="H19" s="2"/>
      <c r="I19" s="2"/>
    </row>
    <row r="20" spans="1:9" x14ac:dyDescent="0.2">
      <c r="A20">
        <f t="shared" si="0"/>
        <v>9</v>
      </c>
      <c r="B20" s="24">
        <v>10</v>
      </c>
      <c r="H20" s="2"/>
      <c r="I20" s="2"/>
    </row>
    <row r="21" spans="1:9" x14ac:dyDescent="0.2">
      <c r="A21">
        <f t="shared" si="0"/>
        <v>9.5</v>
      </c>
      <c r="B21" s="24">
        <v>10</v>
      </c>
      <c r="H21" s="2"/>
      <c r="I21" s="2"/>
    </row>
    <row r="22" spans="1:9" x14ac:dyDescent="0.2">
      <c r="A22">
        <f t="shared" si="0"/>
        <v>10</v>
      </c>
      <c r="B22" s="24">
        <v>12</v>
      </c>
      <c r="H22" s="2"/>
      <c r="I22" s="2"/>
    </row>
    <row r="23" spans="1:9" x14ac:dyDescent="0.2">
      <c r="A23">
        <f t="shared" si="0"/>
        <v>10.5</v>
      </c>
      <c r="B23" s="24">
        <v>12</v>
      </c>
      <c r="H23" s="2"/>
      <c r="I23" s="2"/>
    </row>
    <row r="24" spans="1:9" x14ac:dyDescent="0.2">
      <c r="A24">
        <f t="shared" si="0"/>
        <v>11</v>
      </c>
      <c r="B24" s="24">
        <v>12</v>
      </c>
      <c r="H24" s="2"/>
      <c r="I24" s="2"/>
    </row>
    <row r="25" spans="1:9" x14ac:dyDescent="0.2">
      <c r="A25">
        <f t="shared" si="0"/>
        <v>11.5</v>
      </c>
      <c r="B25" s="24">
        <v>12</v>
      </c>
      <c r="H25" s="2"/>
      <c r="I25" s="2"/>
    </row>
    <row r="26" spans="1:9" x14ac:dyDescent="0.2">
      <c r="A26">
        <f t="shared" si="0"/>
        <v>12</v>
      </c>
      <c r="B26" s="24">
        <v>12</v>
      </c>
      <c r="H26" s="2"/>
      <c r="I26" s="2"/>
    </row>
    <row r="27" spans="1:9" x14ac:dyDescent="0.2">
      <c r="A27">
        <f t="shared" si="0"/>
        <v>12.5</v>
      </c>
      <c r="B27" s="24">
        <v>12</v>
      </c>
      <c r="H27" s="2"/>
      <c r="I27" s="2"/>
    </row>
    <row r="28" spans="1:9" x14ac:dyDescent="0.2">
      <c r="A28">
        <f t="shared" si="0"/>
        <v>13</v>
      </c>
      <c r="B28" s="24">
        <v>12</v>
      </c>
      <c r="H28" s="2"/>
      <c r="I28" s="2"/>
    </row>
    <row r="29" spans="1:9" x14ac:dyDescent="0.2">
      <c r="A29">
        <f t="shared" si="0"/>
        <v>13.5</v>
      </c>
      <c r="B29" s="24">
        <v>12</v>
      </c>
      <c r="H29" s="2"/>
      <c r="I29" s="2"/>
    </row>
    <row r="30" spans="1:9" x14ac:dyDescent="0.2">
      <c r="A30">
        <f t="shared" si="0"/>
        <v>14</v>
      </c>
      <c r="B30" s="24">
        <v>12</v>
      </c>
      <c r="H30" s="2"/>
      <c r="I30" s="2"/>
    </row>
    <row r="31" spans="1:9" x14ac:dyDescent="0.2">
      <c r="A31">
        <f t="shared" si="0"/>
        <v>14.5</v>
      </c>
      <c r="B31" s="24">
        <v>12</v>
      </c>
      <c r="H31" s="2"/>
      <c r="I31" s="2"/>
    </row>
    <row r="32" spans="1:9" x14ac:dyDescent="0.2">
      <c r="A32">
        <f t="shared" si="0"/>
        <v>15</v>
      </c>
      <c r="B32" s="24">
        <v>14</v>
      </c>
      <c r="H32" s="2"/>
      <c r="I32" s="2"/>
    </row>
    <row r="33" spans="1:9" x14ac:dyDescent="0.2">
      <c r="A33">
        <f t="shared" si="0"/>
        <v>15.5</v>
      </c>
      <c r="B33" s="24">
        <v>14</v>
      </c>
      <c r="H33" s="2"/>
      <c r="I33" s="2"/>
    </row>
    <row r="34" spans="1:9" x14ac:dyDescent="0.2">
      <c r="A34">
        <f t="shared" si="0"/>
        <v>16</v>
      </c>
      <c r="B34" s="24">
        <v>14</v>
      </c>
      <c r="H34" s="2"/>
      <c r="I34" s="2"/>
    </row>
    <row r="35" spans="1:9" x14ac:dyDescent="0.2">
      <c r="A35">
        <f t="shared" ref="A35:A66" si="2">A34+0.5</f>
        <v>16.5</v>
      </c>
      <c r="B35" s="24">
        <v>14</v>
      </c>
      <c r="H35" s="2"/>
      <c r="I35" s="2"/>
    </row>
    <row r="36" spans="1:9" x14ac:dyDescent="0.2">
      <c r="A36">
        <f t="shared" si="2"/>
        <v>17</v>
      </c>
      <c r="B36" s="24">
        <v>14</v>
      </c>
      <c r="H36" s="2"/>
      <c r="I36" s="2"/>
    </row>
    <row r="37" spans="1:9" x14ac:dyDescent="0.2">
      <c r="A37">
        <f t="shared" si="2"/>
        <v>17.5</v>
      </c>
      <c r="B37" s="24">
        <v>14</v>
      </c>
      <c r="H37" s="2"/>
      <c r="I37" s="2"/>
    </row>
    <row r="38" spans="1:9" x14ac:dyDescent="0.2">
      <c r="A38">
        <f t="shared" si="2"/>
        <v>18</v>
      </c>
      <c r="B38" s="24">
        <v>14</v>
      </c>
      <c r="H38" s="2"/>
      <c r="I38" s="2"/>
    </row>
    <row r="39" spans="1:9" x14ac:dyDescent="0.2">
      <c r="A39">
        <f t="shared" si="2"/>
        <v>18.5</v>
      </c>
      <c r="B39" s="24">
        <v>14</v>
      </c>
      <c r="H39" s="2"/>
      <c r="I39" s="2"/>
    </row>
    <row r="40" spans="1:9" x14ac:dyDescent="0.2">
      <c r="A40">
        <f t="shared" si="2"/>
        <v>19</v>
      </c>
      <c r="B40" s="24">
        <v>14</v>
      </c>
      <c r="H40" s="2"/>
      <c r="I40" s="2"/>
    </row>
    <row r="41" spans="1:9" x14ac:dyDescent="0.2">
      <c r="A41">
        <f t="shared" si="2"/>
        <v>19.5</v>
      </c>
      <c r="B41" s="24">
        <v>14</v>
      </c>
      <c r="H41" s="2"/>
      <c r="I41" s="2"/>
    </row>
    <row r="42" spans="1:9" x14ac:dyDescent="0.2">
      <c r="A42">
        <f t="shared" si="2"/>
        <v>20</v>
      </c>
      <c r="B42" s="24">
        <v>16</v>
      </c>
      <c r="H42" s="2"/>
      <c r="I42" s="2"/>
    </row>
    <row r="43" spans="1:9" x14ac:dyDescent="0.2">
      <c r="A43">
        <f t="shared" si="2"/>
        <v>20.5</v>
      </c>
      <c r="B43" s="24">
        <v>16</v>
      </c>
      <c r="H43" s="2"/>
      <c r="I43" s="2"/>
    </row>
    <row r="44" spans="1:9" x14ac:dyDescent="0.2">
      <c r="A44">
        <f t="shared" si="2"/>
        <v>21</v>
      </c>
      <c r="B44" s="24">
        <v>16</v>
      </c>
      <c r="H44" s="2"/>
      <c r="I44" s="2"/>
    </row>
    <row r="45" spans="1:9" x14ac:dyDescent="0.2">
      <c r="A45">
        <f t="shared" si="2"/>
        <v>21.5</v>
      </c>
      <c r="B45" s="24">
        <v>16</v>
      </c>
      <c r="H45" s="2"/>
      <c r="I45" s="2"/>
    </row>
    <row r="46" spans="1:9" x14ac:dyDescent="0.2">
      <c r="A46">
        <f t="shared" si="2"/>
        <v>22</v>
      </c>
      <c r="B46" s="24">
        <v>16</v>
      </c>
      <c r="H46" s="2"/>
      <c r="I46" s="2"/>
    </row>
    <row r="47" spans="1:9" x14ac:dyDescent="0.2">
      <c r="A47">
        <f t="shared" si="2"/>
        <v>22.5</v>
      </c>
      <c r="B47" s="24">
        <v>16</v>
      </c>
      <c r="H47" s="2"/>
      <c r="I47" s="2"/>
    </row>
    <row r="48" spans="1:9" x14ac:dyDescent="0.2">
      <c r="A48">
        <f t="shared" si="2"/>
        <v>23</v>
      </c>
      <c r="B48" s="24">
        <v>16</v>
      </c>
      <c r="H48" s="2"/>
      <c r="I48" s="2"/>
    </row>
    <row r="49" spans="1:9" x14ac:dyDescent="0.2">
      <c r="A49">
        <f t="shared" si="2"/>
        <v>23.5</v>
      </c>
      <c r="B49" s="24">
        <v>16</v>
      </c>
      <c r="H49" s="2"/>
      <c r="I49" s="2"/>
    </row>
    <row r="50" spans="1:9" x14ac:dyDescent="0.2">
      <c r="A50">
        <f t="shared" si="2"/>
        <v>24</v>
      </c>
      <c r="B50" s="24">
        <v>16</v>
      </c>
      <c r="H50" s="2"/>
      <c r="I50" s="2"/>
    </row>
    <row r="51" spans="1:9" x14ac:dyDescent="0.2">
      <c r="A51">
        <f t="shared" si="2"/>
        <v>24.5</v>
      </c>
      <c r="B51" s="24">
        <v>16</v>
      </c>
      <c r="H51" s="2"/>
      <c r="I51" s="2"/>
    </row>
    <row r="52" spans="1:9" x14ac:dyDescent="0.2">
      <c r="A52">
        <f t="shared" si="2"/>
        <v>25</v>
      </c>
      <c r="B52" s="24">
        <v>16</v>
      </c>
      <c r="H52" s="2"/>
      <c r="I52" s="2"/>
    </row>
    <row r="53" spans="1:9" x14ac:dyDescent="0.2">
      <c r="A53">
        <f t="shared" si="2"/>
        <v>25.5</v>
      </c>
      <c r="B53" s="24">
        <v>16</v>
      </c>
      <c r="H53" s="2"/>
      <c r="I53" s="2"/>
    </row>
    <row r="54" spans="1:9" x14ac:dyDescent="0.2">
      <c r="A54">
        <f t="shared" si="2"/>
        <v>26</v>
      </c>
      <c r="B54" s="24">
        <v>16</v>
      </c>
      <c r="H54" s="2"/>
      <c r="I54" s="2"/>
    </row>
    <row r="55" spans="1:9" x14ac:dyDescent="0.2">
      <c r="A55">
        <f t="shared" si="2"/>
        <v>26.5</v>
      </c>
      <c r="B55" s="24">
        <v>16</v>
      </c>
      <c r="H55" s="2"/>
      <c r="I55" s="2"/>
    </row>
    <row r="56" spans="1:9" x14ac:dyDescent="0.2">
      <c r="A56">
        <f t="shared" si="2"/>
        <v>27</v>
      </c>
      <c r="B56" s="24">
        <v>16</v>
      </c>
      <c r="H56" s="2"/>
      <c r="I56" s="2"/>
    </row>
    <row r="57" spans="1:9" x14ac:dyDescent="0.2">
      <c r="A57">
        <f t="shared" si="2"/>
        <v>27.5</v>
      </c>
      <c r="B57" s="24">
        <v>16</v>
      </c>
      <c r="H57" s="2"/>
      <c r="I57" s="2"/>
    </row>
    <row r="58" spans="1:9" x14ac:dyDescent="0.2">
      <c r="A58">
        <f t="shared" si="2"/>
        <v>28</v>
      </c>
      <c r="B58" s="24">
        <v>16</v>
      </c>
      <c r="H58" s="2"/>
      <c r="I58" s="2"/>
    </row>
    <row r="59" spans="1:9" x14ac:dyDescent="0.2">
      <c r="A59">
        <f t="shared" si="2"/>
        <v>28.5</v>
      </c>
      <c r="B59" s="24">
        <v>16</v>
      </c>
      <c r="H59" s="2"/>
      <c r="I59" s="2"/>
    </row>
    <row r="60" spans="1:9" x14ac:dyDescent="0.2">
      <c r="A60">
        <f t="shared" si="2"/>
        <v>29</v>
      </c>
      <c r="B60" s="24">
        <v>16</v>
      </c>
      <c r="H60" s="2"/>
      <c r="I60" s="2"/>
    </row>
    <row r="61" spans="1:9" x14ac:dyDescent="0.2">
      <c r="A61">
        <f t="shared" si="2"/>
        <v>29.5</v>
      </c>
      <c r="B61" s="24">
        <v>16</v>
      </c>
      <c r="H61" s="2"/>
      <c r="I61" s="2"/>
    </row>
    <row r="62" spans="1:9" x14ac:dyDescent="0.2">
      <c r="A62">
        <f t="shared" si="2"/>
        <v>30</v>
      </c>
      <c r="B62" s="24">
        <v>18</v>
      </c>
      <c r="H62" s="2"/>
      <c r="I62" s="2"/>
    </row>
    <row r="63" spans="1:9" x14ac:dyDescent="0.2">
      <c r="A63">
        <f t="shared" si="2"/>
        <v>30.5</v>
      </c>
      <c r="B63" s="24">
        <v>18</v>
      </c>
      <c r="H63" s="2"/>
      <c r="I63" s="2"/>
    </row>
    <row r="64" spans="1:9" x14ac:dyDescent="0.2">
      <c r="A64">
        <f t="shared" si="2"/>
        <v>31</v>
      </c>
      <c r="B64" s="24">
        <v>18</v>
      </c>
      <c r="H64" s="2"/>
      <c r="I64" s="2"/>
    </row>
    <row r="65" spans="1:9" x14ac:dyDescent="0.2">
      <c r="A65">
        <f t="shared" si="2"/>
        <v>31.5</v>
      </c>
      <c r="B65" s="24">
        <v>18</v>
      </c>
      <c r="H65" s="2"/>
      <c r="I65" s="2"/>
    </row>
    <row r="66" spans="1:9" x14ac:dyDescent="0.2">
      <c r="A66">
        <f t="shared" si="2"/>
        <v>32</v>
      </c>
      <c r="B66" s="24">
        <v>18</v>
      </c>
      <c r="H66" s="2"/>
      <c r="I66" s="2"/>
    </row>
    <row r="67" spans="1:9" x14ac:dyDescent="0.2">
      <c r="A67">
        <f t="shared" ref="A67:A102" si="3">A66+0.5</f>
        <v>32.5</v>
      </c>
      <c r="B67" s="24">
        <v>18</v>
      </c>
      <c r="H67" s="2"/>
      <c r="I67" s="2"/>
    </row>
    <row r="68" spans="1:9" x14ac:dyDescent="0.2">
      <c r="A68">
        <f t="shared" si="3"/>
        <v>33</v>
      </c>
      <c r="B68" s="24">
        <v>18</v>
      </c>
      <c r="H68" s="2"/>
      <c r="I68" s="2"/>
    </row>
    <row r="69" spans="1:9" x14ac:dyDescent="0.2">
      <c r="A69">
        <f t="shared" si="3"/>
        <v>33.5</v>
      </c>
      <c r="B69" s="24">
        <v>18</v>
      </c>
      <c r="H69" s="2"/>
      <c r="I69" s="2"/>
    </row>
    <row r="70" spans="1:9" x14ac:dyDescent="0.2">
      <c r="A70">
        <f t="shared" si="3"/>
        <v>34</v>
      </c>
      <c r="B70" s="24">
        <v>18</v>
      </c>
      <c r="H70" s="2"/>
      <c r="I70" s="2"/>
    </row>
    <row r="71" spans="1:9" x14ac:dyDescent="0.2">
      <c r="A71">
        <f t="shared" si="3"/>
        <v>34.5</v>
      </c>
      <c r="B71" s="24">
        <v>18</v>
      </c>
      <c r="H71" s="2"/>
      <c r="I71" s="2"/>
    </row>
    <row r="72" spans="1:9" x14ac:dyDescent="0.2">
      <c r="A72">
        <f t="shared" si="3"/>
        <v>35</v>
      </c>
      <c r="B72" s="24">
        <v>18</v>
      </c>
      <c r="H72" s="2"/>
      <c r="I72" s="2"/>
    </row>
    <row r="73" spans="1:9" x14ac:dyDescent="0.2">
      <c r="A73">
        <f t="shared" si="3"/>
        <v>35.5</v>
      </c>
      <c r="B73" s="24">
        <v>18</v>
      </c>
      <c r="H73" s="2"/>
      <c r="I73" s="2"/>
    </row>
    <row r="74" spans="1:9" x14ac:dyDescent="0.2">
      <c r="A74">
        <f t="shared" si="3"/>
        <v>36</v>
      </c>
      <c r="B74" s="24">
        <v>18</v>
      </c>
      <c r="H74" s="2"/>
      <c r="I74" s="2"/>
    </row>
    <row r="75" spans="1:9" x14ac:dyDescent="0.2">
      <c r="A75">
        <f t="shared" si="3"/>
        <v>36.5</v>
      </c>
      <c r="B75" s="24">
        <v>18</v>
      </c>
      <c r="H75" s="2"/>
      <c r="I75" s="2"/>
    </row>
    <row r="76" spans="1:9" x14ac:dyDescent="0.2">
      <c r="A76">
        <f t="shared" si="3"/>
        <v>37</v>
      </c>
      <c r="B76" s="24">
        <v>18</v>
      </c>
      <c r="H76" s="2"/>
      <c r="I76" s="2"/>
    </row>
    <row r="77" spans="1:9" x14ac:dyDescent="0.2">
      <c r="A77">
        <f t="shared" si="3"/>
        <v>37.5</v>
      </c>
      <c r="B77" s="24">
        <v>18</v>
      </c>
      <c r="H77" s="2"/>
      <c r="I77" s="2"/>
    </row>
    <row r="78" spans="1:9" x14ac:dyDescent="0.2">
      <c r="A78">
        <f t="shared" si="3"/>
        <v>38</v>
      </c>
      <c r="B78" s="24">
        <v>18</v>
      </c>
      <c r="H78" s="2"/>
      <c r="I78" s="2"/>
    </row>
    <row r="79" spans="1:9" x14ac:dyDescent="0.2">
      <c r="A79">
        <f t="shared" si="3"/>
        <v>38.5</v>
      </c>
      <c r="B79" s="24">
        <v>18</v>
      </c>
      <c r="H79" s="2"/>
      <c r="I79" s="2"/>
    </row>
    <row r="80" spans="1:9" x14ac:dyDescent="0.2">
      <c r="A80">
        <f t="shared" si="3"/>
        <v>39</v>
      </c>
      <c r="B80" s="24">
        <v>18</v>
      </c>
      <c r="H80" s="2"/>
      <c r="I80" s="2"/>
    </row>
    <row r="81" spans="1:9" x14ac:dyDescent="0.2">
      <c r="A81">
        <f t="shared" si="3"/>
        <v>39.5</v>
      </c>
      <c r="B81" s="24">
        <v>18</v>
      </c>
      <c r="H81" s="2"/>
      <c r="I81" s="2"/>
    </row>
    <row r="82" spans="1:9" x14ac:dyDescent="0.2">
      <c r="A82">
        <f t="shared" si="3"/>
        <v>40</v>
      </c>
      <c r="B82" s="24">
        <v>18</v>
      </c>
      <c r="H82" s="2"/>
      <c r="I82" s="2"/>
    </row>
    <row r="83" spans="1:9" x14ac:dyDescent="0.2">
      <c r="A83">
        <f t="shared" si="3"/>
        <v>40.5</v>
      </c>
      <c r="B83" s="24">
        <v>18</v>
      </c>
      <c r="H83" s="2"/>
      <c r="I83" s="2"/>
    </row>
    <row r="84" spans="1:9" x14ac:dyDescent="0.2">
      <c r="A84">
        <f t="shared" si="3"/>
        <v>41</v>
      </c>
      <c r="B84" s="24">
        <v>18</v>
      </c>
      <c r="H84" s="2"/>
      <c r="I84" s="2"/>
    </row>
    <row r="85" spans="1:9" x14ac:dyDescent="0.2">
      <c r="A85">
        <f t="shared" si="3"/>
        <v>41.5</v>
      </c>
      <c r="B85" s="24">
        <v>18</v>
      </c>
      <c r="H85" s="2"/>
      <c r="I85" s="2"/>
    </row>
    <row r="86" spans="1:9" x14ac:dyDescent="0.2">
      <c r="A86">
        <f t="shared" si="3"/>
        <v>42</v>
      </c>
      <c r="B86" s="24">
        <v>18</v>
      </c>
      <c r="H86" s="2"/>
      <c r="I86" s="2"/>
    </row>
    <row r="87" spans="1:9" x14ac:dyDescent="0.2">
      <c r="A87">
        <f t="shared" si="3"/>
        <v>42.5</v>
      </c>
      <c r="B87" s="24">
        <v>18</v>
      </c>
      <c r="H87" s="2"/>
      <c r="I87" s="2"/>
    </row>
    <row r="88" spans="1:9" x14ac:dyDescent="0.2">
      <c r="A88">
        <f t="shared" si="3"/>
        <v>43</v>
      </c>
      <c r="B88" s="24">
        <v>18</v>
      </c>
      <c r="H88" s="2"/>
      <c r="I88" s="2"/>
    </row>
    <row r="89" spans="1:9" x14ac:dyDescent="0.2">
      <c r="A89">
        <f t="shared" si="3"/>
        <v>43.5</v>
      </c>
      <c r="B89" s="24">
        <v>18</v>
      </c>
      <c r="H89" s="2"/>
      <c r="I89" s="2"/>
    </row>
    <row r="90" spans="1:9" x14ac:dyDescent="0.2">
      <c r="A90">
        <f t="shared" si="3"/>
        <v>44</v>
      </c>
      <c r="B90" s="24">
        <v>18</v>
      </c>
      <c r="H90" s="2"/>
      <c r="I90" s="2"/>
    </row>
    <row r="91" spans="1:9" x14ac:dyDescent="0.2">
      <c r="A91">
        <f t="shared" si="3"/>
        <v>44.5</v>
      </c>
      <c r="B91" s="24">
        <v>18</v>
      </c>
      <c r="H91" s="2"/>
      <c r="I91" s="2"/>
    </row>
    <row r="92" spans="1:9" x14ac:dyDescent="0.2">
      <c r="A92">
        <f t="shared" si="3"/>
        <v>45</v>
      </c>
      <c r="B92" s="24">
        <v>18</v>
      </c>
      <c r="H92" s="2"/>
      <c r="I92" s="2"/>
    </row>
    <row r="93" spans="1:9" x14ac:dyDescent="0.2">
      <c r="A93">
        <f t="shared" si="3"/>
        <v>45.5</v>
      </c>
      <c r="B93" s="24">
        <v>18</v>
      </c>
      <c r="H93" s="2"/>
      <c r="I93" s="2"/>
    </row>
    <row r="94" spans="1:9" x14ac:dyDescent="0.2">
      <c r="A94">
        <f t="shared" si="3"/>
        <v>46</v>
      </c>
      <c r="B94" s="24">
        <v>18</v>
      </c>
      <c r="H94" s="2"/>
      <c r="I94" s="2"/>
    </row>
    <row r="95" spans="1:9" x14ac:dyDescent="0.2">
      <c r="A95">
        <f t="shared" si="3"/>
        <v>46.5</v>
      </c>
      <c r="B95" s="24">
        <v>18</v>
      </c>
      <c r="H95" s="2"/>
      <c r="I95" s="2"/>
    </row>
    <row r="96" spans="1:9" x14ac:dyDescent="0.2">
      <c r="A96">
        <f t="shared" si="3"/>
        <v>47</v>
      </c>
      <c r="B96" s="24">
        <v>18</v>
      </c>
      <c r="H96" s="2"/>
      <c r="I96" s="2"/>
    </row>
    <row r="97" spans="1:9" x14ac:dyDescent="0.2">
      <c r="A97">
        <f t="shared" si="3"/>
        <v>47.5</v>
      </c>
      <c r="B97" s="24">
        <v>18</v>
      </c>
      <c r="H97" s="2"/>
      <c r="I97" s="2"/>
    </row>
    <row r="98" spans="1:9" x14ac:dyDescent="0.2">
      <c r="A98">
        <f t="shared" si="3"/>
        <v>48</v>
      </c>
      <c r="B98" s="24">
        <v>18</v>
      </c>
      <c r="H98" s="2"/>
      <c r="I98" s="2"/>
    </row>
    <row r="99" spans="1:9" x14ac:dyDescent="0.2">
      <c r="A99">
        <f t="shared" si="3"/>
        <v>48.5</v>
      </c>
      <c r="B99" s="24">
        <v>18</v>
      </c>
      <c r="H99" s="2"/>
      <c r="I99" s="2"/>
    </row>
    <row r="100" spans="1:9" x14ac:dyDescent="0.2">
      <c r="A100">
        <f t="shared" si="3"/>
        <v>49</v>
      </c>
      <c r="B100" s="24">
        <v>18</v>
      </c>
      <c r="H100" s="2"/>
      <c r="I100" s="2"/>
    </row>
    <row r="101" spans="1:9" x14ac:dyDescent="0.2">
      <c r="A101">
        <f t="shared" si="3"/>
        <v>49.5</v>
      </c>
      <c r="B101" s="24">
        <v>18</v>
      </c>
      <c r="H101" s="2"/>
      <c r="I101" s="2"/>
    </row>
    <row r="102" spans="1:9" x14ac:dyDescent="0.2">
      <c r="A102">
        <f t="shared" si="3"/>
        <v>50</v>
      </c>
      <c r="B102" s="24">
        <v>20</v>
      </c>
      <c r="H102" s="2"/>
      <c r="I102" s="2"/>
    </row>
    <row r="103" spans="1:9" x14ac:dyDescent="0.2">
      <c r="B103" s="24"/>
      <c r="H103" s="2"/>
      <c r="I103" s="2"/>
    </row>
    <row r="104" spans="1:9" x14ac:dyDescent="0.2">
      <c r="B104" s="24"/>
      <c r="H104" s="2"/>
      <c r="I104" s="2"/>
    </row>
    <row r="105" spans="1:9" x14ac:dyDescent="0.2">
      <c r="B105" s="24"/>
      <c r="H105" s="2"/>
      <c r="I105" s="2"/>
    </row>
    <row r="106" spans="1:9" x14ac:dyDescent="0.2">
      <c r="B106" s="24"/>
      <c r="H106" s="2"/>
      <c r="I106" s="2"/>
    </row>
    <row r="107" spans="1:9" x14ac:dyDescent="0.2">
      <c r="B107" s="24"/>
      <c r="H107" s="2"/>
      <c r="I107" s="2"/>
    </row>
    <row r="108" spans="1:9" x14ac:dyDescent="0.2">
      <c r="A108" t="s">
        <v>291</v>
      </c>
      <c r="B108" s="24"/>
      <c r="H108" s="2"/>
      <c r="I108" s="2"/>
    </row>
    <row r="109" spans="1:9" x14ac:dyDescent="0.2">
      <c r="A109" t="s">
        <v>292</v>
      </c>
      <c r="B109" s="28" t="s">
        <v>295</v>
      </c>
      <c r="C109" s="12" t="s">
        <v>294</v>
      </c>
      <c r="D109" t="s">
        <v>293</v>
      </c>
      <c r="H109" s="2"/>
      <c r="I109" s="2"/>
    </row>
    <row r="110" spans="1:9" x14ac:dyDescent="0.2">
      <c r="A110" s="12" t="s">
        <v>316</v>
      </c>
      <c r="B110" s="26">
        <v>-0.1</v>
      </c>
      <c r="C110" s="26">
        <v>-0.1</v>
      </c>
      <c r="D110">
        <v>0</v>
      </c>
      <c r="H110" s="2"/>
      <c r="I110" s="2"/>
    </row>
    <row r="111" spans="1:9" x14ac:dyDescent="0.2">
      <c r="A111" s="12" t="s">
        <v>408</v>
      </c>
      <c r="B111" s="26">
        <v>-0.1</v>
      </c>
      <c r="C111" s="26">
        <v>-0.1</v>
      </c>
      <c r="D111">
        <v>0</v>
      </c>
      <c r="H111" s="2"/>
      <c r="I111" s="2"/>
    </row>
    <row r="112" spans="1:9" x14ac:dyDescent="0.2">
      <c r="A112" s="12" t="s">
        <v>296</v>
      </c>
      <c r="B112" s="26">
        <v>-0.15</v>
      </c>
      <c r="C112" s="26">
        <v>-0.1</v>
      </c>
      <c r="D112">
        <v>1</v>
      </c>
      <c r="H112" s="2"/>
      <c r="I112" s="2"/>
    </row>
    <row r="113" spans="1:9" x14ac:dyDescent="0.2">
      <c r="A113" s="12" t="s">
        <v>297</v>
      </c>
      <c r="B113" s="26">
        <v>-0.15</v>
      </c>
      <c r="C113" s="26">
        <v>-0.1</v>
      </c>
      <c r="D113">
        <v>1</v>
      </c>
      <c r="H113" s="2"/>
      <c r="I113" s="2"/>
    </row>
    <row r="114" spans="1:9" x14ac:dyDescent="0.2">
      <c r="A114" s="12" t="s">
        <v>298</v>
      </c>
      <c r="B114" s="26">
        <v>-0.15</v>
      </c>
      <c r="C114" s="26">
        <v>-0.1</v>
      </c>
      <c r="D114">
        <v>1</v>
      </c>
      <c r="H114" s="2"/>
      <c r="I114" s="2"/>
    </row>
    <row r="115" spans="1:9" x14ac:dyDescent="0.2">
      <c r="A115" s="12" t="s">
        <v>299</v>
      </c>
      <c r="B115" s="26">
        <v>-0.2</v>
      </c>
      <c r="C115" s="26">
        <v>-0.1</v>
      </c>
      <c r="D115">
        <v>2</v>
      </c>
      <c r="H115" s="2"/>
      <c r="I115" s="2"/>
    </row>
    <row r="116" spans="1:9" x14ac:dyDescent="0.2">
      <c r="A116" s="12" t="s">
        <v>300</v>
      </c>
      <c r="B116" s="26">
        <v>-0.2</v>
      </c>
      <c r="C116" s="26">
        <v>-0.1</v>
      </c>
      <c r="D116" s="24">
        <v>2</v>
      </c>
      <c r="H116" s="2"/>
      <c r="I116" s="2"/>
    </row>
    <row r="117" spans="1:9" x14ac:dyDescent="0.2">
      <c r="A117" s="12" t="s">
        <v>301</v>
      </c>
      <c r="B117" s="26">
        <v>-0.2</v>
      </c>
      <c r="C117" s="26">
        <v>-0.1</v>
      </c>
      <c r="D117" s="24">
        <v>2</v>
      </c>
      <c r="H117" s="2"/>
      <c r="I117" s="2"/>
    </row>
    <row r="118" spans="1:9" x14ac:dyDescent="0.2">
      <c r="A118" s="12" t="s">
        <v>302</v>
      </c>
      <c r="B118" s="26">
        <v>-0.25</v>
      </c>
      <c r="C118" s="26">
        <v>-0.05</v>
      </c>
      <c r="D118" s="24">
        <v>2</v>
      </c>
      <c r="H118" s="2"/>
      <c r="I118" s="2"/>
    </row>
    <row r="119" spans="1:9" x14ac:dyDescent="0.2">
      <c r="A119" s="12" t="s">
        <v>303</v>
      </c>
      <c r="B119" s="26">
        <v>-0.25</v>
      </c>
      <c r="C119" s="26">
        <v>-0.05</v>
      </c>
      <c r="D119" s="24">
        <v>2</v>
      </c>
      <c r="H119" s="2"/>
      <c r="I119" s="2"/>
    </row>
    <row r="120" spans="1:9" x14ac:dyDescent="0.2">
      <c r="A120" s="12" t="s">
        <v>304</v>
      </c>
      <c r="B120" s="26">
        <v>-0.25</v>
      </c>
      <c r="C120" s="26">
        <v>-0.05</v>
      </c>
      <c r="D120" s="24">
        <v>2</v>
      </c>
      <c r="H120" s="2"/>
      <c r="I120" s="2"/>
    </row>
    <row r="121" spans="1:9" x14ac:dyDescent="0.2">
      <c r="A121" s="12" t="s">
        <v>305</v>
      </c>
      <c r="B121" s="26">
        <v>-0.3</v>
      </c>
      <c r="C121" s="26">
        <v>-0.05</v>
      </c>
      <c r="D121" s="24">
        <v>3</v>
      </c>
      <c r="H121" s="2"/>
      <c r="I121" s="2"/>
    </row>
    <row r="122" spans="1:9" x14ac:dyDescent="0.2">
      <c r="A122" s="12" t="s">
        <v>306</v>
      </c>
      <c r="B122" s="26">
        <v>-0.3</v>
      </c>
      <c r="C122" s="26">
        <v>-0.05</v>
      </c>
      <c r="D122" s="24">
        <v>3</v>
      </c>
      <c r="H122" s="2"/>
      <c r="I122" s="2"/>
    </row>
    <row r="123" spans="1:9" x14ac:dyDescent="0.2">
      <c r="A123" s="12" t="s">
        <v>307</v>
      </c>
      <c r="B123" s="26">
        <v>-0.3</v>
      </c>
      <c r="C123" s="26">
        <v>-0.05</v>
      </c>
      <c r="D123" s="24">
        <v>3</v>
      </c>
      <c r="H123" s="2"/>
      <c r="I123" s="2"/>
    </row>
    <row r="124" spans="1:9" x14ac:dyDescent="0.2">
      <c r="A124" s="12" t="s">
        <v>308</v>
      </c>
      <c r="B124" s="26">
        <v>-0.3</v>
      </c>
      <c r="C124" s="26">
        <v>-0.05</v>
      </c>
      <c r="D124" s="24">
        <v>3</v>
      </c>
      <c r="H124" s="2"/>
      <c r="I124" s="2"/>
    </row>
    <row r="125" spans="1:9" x14ac:dyDescent="0.2">
      <c r="A125" s="12" t="s">
        <v>309</v>
      </c>
      <c r="B125" s="26">
        <v>-0.3</v>
      </c>
      <c r="C125" s="26">
        <v>-0.05</v>
      </c>
      <c r="D125" s="24">
        <v>3</v>
      </c>
      <c r="H125" s="2"/>
      <c r="I125" s="2"/>
    </row>
    <row r="126" spans="1:9" x14ac:dyDescent="0.2">
      <c r="A126" s="12" t="s">
        <v>310</v>
      </c>
      <c r="B126" s="26">
        <v>-0.35</v>
      </c>
      <c r="C126" s="26">
        <v>0</v>
      </c>
      <c r="D126" s="24">
        <v>3</v>
      </c>
      <c r="H126" s="2"/>
      <c r="I126" s="2"/>
    </row>
    <row r="127" spans="1:9" x14ac:dyDescent="0.2">
      <c r="A127" s="12" t="s">
        <v>311</v>
      </c>
      <c r="B127" s="26">
        <v>-0.35</v>
      </c>
      <c r="C127" s="26">
        <v>0</v>
      </c>
      <c r="D127" s="24">
        <v>3</v>
      </c>
      <c r="H127" s="2"/>
      <c r="I127" s="2"/>
    </row>
    <row r="128" spans="1:9" x14ac:dyDescent="0.2">
      <c r="A128" s="12" t="s">
        <v>312</v>
      </c>
      <c r="B128" s="26">
        <v>-0.35</v>
      </c>
      <c r="C128" s="26">
        <v>0</v>
      </c>
      <c r="D128" s="24">
        <v>3</v>
      </c>
      <c r="H128" s="2"/>
      <c r="I128" s="2"/>
    </row>
    <row r="129" spans="1:9" x14ac:dyDescent="0.2">
      <c r="A129" s="12" t="s">
        <v>313</v>
      </c>
      <c r="B129" s="26">
        <v>-0.35</v>
      </c>
      <c r="C129" s="26">
        <v>0</v>
      </c>
      <c r="D129" s="24">
        <v>3</v>
      </c>
      <c r="H129" s="2"/>
      <c r="I129" s="2"/>
    </row>
    <row r="130" spans="1:9" x14ac:dyDescent="0.2">
      <c r="A130" s="12" t="s">
        <v>314</v>
      </c>
      <c r="B130" s="26">
        <v>-0.35</v>
      </c>
      <c r="C130" s="26">
        <v>0</v>
      </c>
      <c r="D130" s="24">
        <v>3</v>
      </c>
      <c r="H130" s="2"/>
      <c r="I130" s="2"/>
    </row>
    <row r="131" spans="1:9" x14ac:dyDescent="0.2">
      <c r="A131" s="12" t="s">
        <v>315</v>
      </c>
      <c r="B131" s="26">
        <v>-0.4</v>
      </c>
      <c r="C131" s="26">
        <v>0</v>
      </c>
      <c r="D131" s="24">
        <v>4</v>
      </c>
      <c r="H131" s="2"/>
      <c r="I131" s="2"/>
    </row>
    <row r="132" spans="1:9" x14ac:dyDescent="0.2">
      <c r="B132" s="24"/>
      <c r="D132" s="24"/>
      <c r="H132" s="2"/>
      <c r="I132" s="2"/>
    </row>
    <row r="133" spans="1:9" x14ac:dyDescent="0.2">
      <c r="B133" s="24"/>
      <c r="D133" s="24"/>
      <c r="H133" s="2"/>
      <c r="I133" s="2"/>
    </row>
    <row r="134" spans="1:9" x14ac:dyDescent="0.2">
      <c r="A134" s="12" t="s">
        <v>282</v>
      </c>
      <c r="B134" s="28" t="s">
        <v>318</v>
      </c>
      <c r="D134" s="24"/>
      <c r="H134" s="2"/>
      <c r="I134" s="2"/>
    </row>
    <row r="135" spans="1:9" x14ac:dyDescent="0.2">
      <c r="A135" s="26">
        <v>0</v>
      </c>
      <c r="B135" s="24">
        <v>0</v>
      </c>
      <c r="D135" s="24"/>
      <c r="H135" s="2"/>
      <c r="I135" s="2"/>
    </row>
    <row r="136" spans="1:9" x14ac:dyDescent="0.2">
      <c r="A136" s="26">
        <v>0.05</v>
      </c>
      <c r="B136" s="24">
        <f t="shared" ref="B136:B155" si="4">B135-1</f>
        <v>-1</v>
      </c>
      <c r="D136" s="24"/>
      <c r="H136" s="2"/>
      <c r="I136" s="2"/>
    </row>
    <row r="137" spans="1:9" x14ac:dyDescent="0.2">
      <c r="A137" s="26">
        <v>0.1</v>
      </c>
      <c r="B137" s="24">
        <f t="shared" si="4"/>
        <v>-2</v>
      </c>
      <c r="D137" s="24"/>
      <c r="H137" s="2"/>
      <c r="I137" s="2"/>
    </row>
    <row r="138" spans="1:9" x14ac:dyDescent="0.2">
      <c r="A138" s="26">
        <v>0.15</v>
      </c>
      <c r="B138" s="24">
        <f t="shared" si="4"/>
        <v>-3</v>
      </c>
      <c r="D138" s="24"/>
      <c r="H138" s="2"/>
      <c r="I138" s="2"/>
    </row>
    <row r="139" spans="1:9" x14ac:dyDescent="0.2">
      <c r="A139" s="26">
        <v>0.2</v>
      </c>
      <c r="B139" s="24">
        <f t="shared" si="4"/>
        <v>-4</v>
      </c>
      <c r="D139" s="24"/>
      <c r="H139" s="2"/>
      <c r="I139" s="2"/>
    </row>
    <row r="140" spans="1:9" x14ac:dyDescent="0.2">
      <c r="A140" s="26">
        <v>0.25</v>
      </c>
      <c r="B140" s="24">
        <f t="shared" si="4"/>
        <v>-5</v>
      </c>
      <c r="D140" s="24"/>
      <c r="H140" s="2"/>
      <c r="I140" s="2"/>
    </row>
    <row r="141" spans="1:9" x14ac:dyDescent="0.2">
      <c r="A141" s="26">
        <v>0.3</v>
      </c>
      <c r="B141" s="24">
        <f t="shared" si="4"/>
        <v>-6</v>
      </c>
      <c r="D141" s="24"/>
      <c r="H141" s="2"/>
      <c r="I141" s="2"/>
    </row>
    <row r="142" spans="1:9" x14ac:dyDescent="0.2">
      <c r="A142" s="26">
        <v>0.35</v>
      </c>
      <c r="B142" s="24">
        <f t="shared" si="4"/>
        <v>-7</v>
      </c>
      <c r="D142" s="24"/>
      <c r="H142" s="2"/>
      <c r="I142" s="2"/>
    </row>
    <row r="143" spans="1:9" x14ac:dyDescent="0.2">
      <c r="A143" s="26">
        <v>0.4</v>
      </c>
      <c r="B143" s="24">
        <f t="shared" si="4"/>
        <v>-8</v>
      </c>
      <c r="D143" s="24"/>
      <c r="H143" s="2"/>
      <c r="I143" s="2"/>
    </row>
    <row r="144" spans="1:9" x14ac:dyDescent="0.2">
      <c r="A144" s="26">
        <v>0.45</v>
      </c>
      <c r="B144" s="24">
        <f t="shared" si="4"/>
        <v>-9</v>
      </c>
      <c r="D144" s="24"/>
      <c r="H144" s="2"/>
      <c r="I144" s="2"/>
    </row>
    <row r="145" spans="1:9" x14ac:dyDescent="0.2">
      <c r="A145" s="26">
        <v>0.5</v>
      </c>
      <c r="B145" s="24">
        <f t="shared" si="4"/>
        <v>-10</v>
      </c>
      <c r="D145" s="24"/>
      <c r="H145" s="2"/>
      <c r="I145" s="2"/>
    </row>
    <row r="146" spans="1:9" x14ac:dyDescent="0.2">
      <c r="A146" s="26">
        <v>0.55000000000000004</v>
      </c>
      <c r="B146" s="24">
        <f t="shared" si="4"/>
        <v>-11</v>
      </c>
      <c r="D146" s="24"/>
      <c r="H146" s="2"/>
      <c r="I146" s="2"/>
    </row>
    <row r="147" spans="1:9" x14ac:dyDescent="0.2">
      <c r="A147" s="26">
        <v>0.6</v>
      </c>
      <c r="B147" s="24">
        <f t="shared" si="4"/>
        <v>-12</v>
      </c>
      <c r="D147" s="24"/>
      <c r="H147" s="2"/>
      <c r="I147" s="2"/>
    </row>
    <row r="148" spans="1:9" x14ac:dyDescent="0.2">
      <c r="A148" s="26">
        <v>0.65</v>
      </c>
      <c r="B148" s="24">
        <f t="shared" si="4"/>
        <v>-13</v>
      </c>
      <c r="D148" s="24"/>
      <c r="H148" s="2"/>
      <c r="I148" s="2"/>
    </row>
    <row r="149" spans="1:9" x14ac:dyDescent="0.2">
      <c r="A149" s="26">
        <v>0.7</v>
      </c>
      <c r="B149" s="24">
        <f t="shared" si="4"/>
        <v>-14</v>
      </c>
      <c r="D149" s="24"/>
      <c r="H149" s="2"/>
      <c r="I149" s="2"/>
    </row>
    <row r="150" spans="1:9" x14ac:dyDescent="0.2">
      <c r="A150" s="26">
        <v>0.75</v>
      </c>
      <c r="B150" s="24">
        <f t="shared" si="4"/>
        <v>-15</v>
      </c>
      <c r="D150" s="24"/>
      <c r="H150" s="2"/>
      <c r="I150" s="2"/>
    </row>
    <row r="151" spans="1:9" x14ac:dyDescent="0.2">
      <c r="A151" s="26">
        <v>0.8</v>
      </c>
      <c r="B151" s="24">
        <f t="shared" si="4"/>
        <v>-16</v>
      </c>
      <c r="D151" s="24"/>
      <c r="H151" s="2"/>
      <c r="I151" s="2"/>
    </row>
    <row r="152" spans="1:9" x14ac:dyDescent="0.2">
      <c r="A152" s="26">
        <v>0.85</v>
      </c>
      <c r="B152" s="24">
        <f t="shared" si="4"/>
        <v>-17</v>
      </c>
      <c r="D152" s="24"/>
      <c r="H152" s="2"/>
      <c r="I152" s="2"/>
    </row>
    <row r="153" spans="1:9" x14ac:dyDescent="0.2">
      <c r="A153" s="26">
        <v>0.9</v>
      </c>
      <c r="B153" s="24">
        <f t="shared" si="4"/>
        <v>-18</v>
      </c>
      <c r="D153" s="24"/>
      <c r="H153" s="2"/>
      <c r="I153" s="2"/>
    </row>
    <row r="154" spans="1:9" x14ac:dyDescent="0.2">
      <c r="A154" s="26">
        <v>0.95</v>
      </c>
      <c r="B154" s="24">
        <f t="shared" si="4"/>
        <v>-19</v>
      </c>
      <c r="D154" s="24"/>
      <c r="H154" s="2"/>
      <c r="I154" s="2"/>
    </row>
    <row r="155" spans="1:9" x14ac:dyDescent="0.2">
      <c r="A155" s="26">
        <v>1</v>
      </c>
      <c r="B155" s="24">
        <f t="shared" si="4"/>
        <v>-20</v>
      </c>
      <c r="D155" s="24"/>
      <c r="H155" s="2"/>
      <c r="I155" s="2"/>
    </row>
  </sheetData>
  <phoneticPr fontId="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68"/>
  <sheetViews>
    <sheetView zoomScale="75" zoomScaleNormal="75" workbookViewId="0">
      <selection activeCell="A54" sqref="A54"/>
    </sheetView>
  </sheetViews>
  <sheetFormatPr defaultColWidth="17.28515625" defaultRowHeight="12.75" x14ac:dyDescent="0.2"/>
  <cols>
    <col min="1" max="1" width="21.7109375" style="5" bestFit="1" customWidth="1"/>
    <col min="2" max="2" width="10.5703125" style="4" customWidth="1"/>
    <col min="3" max="3" width="10" style="2" bestFit="1" customWidth="1"/>
    <col min="4" max="4" width="17.7109375" style="2" bestFit="1" customWidth="1"/>
    <col min="5" max="5" width="6.28515625" style="2" customWidth="1"/>
    <col min="6" max="6" width="11.42578125" style="2" bestFit="1" customWidth="1"/>
    <col min="7" max="7" width="16" style="4" customWidth="1"/>
    <col min="8" max="8" width="11.5703125" style="4" customWidth="1"/>
    <col min="9" max="9" width="5.28515625" style="2" customWidth="1"/>
    <col min="10" max="16384" width="17.28515625" style="2"/>
  </cols>
  <sheetData>
    <row r="1" spans="1:9" s="8" customFormat="1" x14ac:dyDescent="0.2">
      <c r="A1" s="6" t="s">
        <v>0</v>
      </c>
      <c r="B1" s="9" t="s">
        <v>1</v>
      </c>
      <c r="C1" s="7" t="s">
        <v>56</v>
      </c>
      <c r="D1" s="7" t="s">
        <v>2</v>
      </c>
      <c r="E1" s="7" t="s">
        <v>3</v>
      </c>
      <c r="F1" s="7" t="s">
        <v>4</v>
      </c>
      <c r="G1" s="7" t="s">
        <v>5</v>
      </c>
      <c r="H1" s="7" t="s">
        <v>6</v>
      </c>
      <c r="I1" s="7" t="s">
        <v>7</v>
      </c>
    </row>
    <row r="2" spans="1:9" x14ac:dyDescent="0.2">
      <c r="A2" s="11" t="s">
        <v>101</v>
      </c>
      <c r="B2" s="38">
        <v>0</v>
      </c>
      <c r="C2" s="10" t="s">
        <v>101</v>
      </c>
      <c r="D2" s="10" t="s">
        <v>101</v>
      </c>
      <c r="E2" s="10" t="s">
        <v>101</v>
      </c>
      <c r="F2" s="10" t="s">
        <v>101</v>
      </c>
      <c r="G2" s="14">
        <v>0</v>
      </c>
      <c r="H2" s="14">
        <v>0</v>
      </c>
      <c r="I2" s="10">
        <v>0</v>
      </c>
    </row>
    <row r="3" spans="1:9" x14ac:dyDescent="0.2">
      <c r="A3" s="11" t="s">
        <v>210</v>
      </c>
      <c r="B3" s="39">
        <v>1</v>
      </c>
      <c r="C3" s="2">
        <v>1</v>
      </c>
      <c r="D3" s="10" t="s">
        <v>106</v>
      </c>
      <c r="E3" s="2">
        <v>2</v>
      </c>
      <c r="F3" s="2">
        <v>0</v>
      </c>
      <c r="G3" s="4">
        <v>50000</v>
      </c>
      <c r="H3" s="4">
        <v>5000</v>
      </c>
      <c r="I3" s="2">
        <v>5</v>
      </c>
    </row>
    <row r="4" spans="1:9" x14ac:dyDescent="0.2">
      <c r="A4" s="11" t="s">
        <v>211</v>
      </c>
      <c r="B4" s="39">
        <v>2</v>
      </c>
      <c r="C4" s="10">
        <v>0</v>
      </c>
      <c r="D4" s="10" t="s">
        <v>50</v>
      </c>
      <c r="E4" s="2">
        <v>1</v>
      </c>
      <c r="F4" s="10" t="s">
        <v>19</v>
      </c>
      <c r="G4" s="4">
        <v>40000</v>
      </c>
      <c r="H4" s="4">
        <v>8000</v>
      </c>
      <c r="I4" s="2">
        <v>1</v>
      </c>
    </row>
    <row r="5" spans="1:9" x14ac:dyDescent="0.2">
      <c r="A5" s="11" t="s">
        <v>212</v>
      </c>
      <c r="B5" s="39">
        <v>3</v>
      </c>
      <c r="C5" s="2">
        <v>0</v>
      </c>
      <c r="D5" s="10" t="s">
        <v>213</v>
      </c>
      <c r="E5" s="2">
        <v>2</v>
      </c>
      <c r="F5" s="10" t="s">
        <v>42</v>
      </c>
      <c r="G5" s="4">
        <v>100000</v>
      </c>
      <c r="H5" s="4">
        <v>20000</v>
      </c>
      <c r="I5" s="2">
        <v>4</v>
      </c>
    </row>
    <row r="6" spans="1:9" x14ac:dyDescent="0.2">
      <c r="A6" s="11" t="s">
        <v>41</v>
      </c>
      <c r="B6" s="39">
        <v>0</v>
      </c>
      <c r="C6" s="2">
        <v>0</v>
      </c>
      <c r="D6" s="10" t="s">
        <v>21</v>
      </c>
      <c r="E6" s="2">
        <v>2</v>
      </c>
      <c r="F6" s="10" t="s">
        <v>19</v>
      </c>
      <c r="G6" s="4">
        <v>10000</v>
      </c>
      <c r="H6" s="4">
        <v>1000</v>
      </c>
      <c r="I6" s="2">
        <v>1</v>
      </c>
    </row>
    <row r="7" spans="1:9" x14ac:dyDescent="0.2">
      <c r="A7" s="11" t="s">
        <v>45</v>
      </c>
      <c r="B7" s="39">
        <v>2.5</v>
      </c>
      <c r="C7" s="2">
        <v>1</v>
      </c>
      <c r="D7" s="10" t="s">
        <v>46</v>
      </c>
      <c r="E7" s="2">
        <v>2</v>
      </c>
      <c r="F7" s="10">
        <v>0</v>
      </c>
      <c r="G7" s="4">
        <v>100000</v>
      </c>
      <c r="H7" s="4">
        <v>10000</v>
      </c>
      <c r="I7" s="2">
        <v>2</v>
      </c>
    </row>
    <row r="8" spans="1:9" x14ac:dyDescent="0.2">
      <c r="A8" s="11" t="s">
        <v>214</v>
      </c>
      <c r="B8" s="39">
        <v>5</v>
      </c>
      <c r="C8" s="2">
        <v>0</v>
      </c>
      <c r="D8" s="10" t="s">
        <v>215</v>
      </c>
      <c r="E8" s="2">
        <v>2</v>
      </c>
      <c r="F8" s="10" t="s">
        <v>42</v>
      </c>
      <c r="G8" s="4">
        <v>200000</v>
      </c>
      <c r="H8" s="4">
        <v>40000</v>
      </c>
      <c r="I8" s="2">
        <v>2</v>
      </c>
    </row>
    <row r="9" spans="1:9" x14ac:dyDescent="0.2">
      <c r="A9" s="11" t="s">
        <v>216</v>
      </c>
      <c r="B9" s="39">
        <v>4</v>
      </c>
      <c r="C9" s="2">
        <v>0</v>
      </c>
      <c r="D9" s="10" t="s">
        <v>215</v>
      </c>
      <c r="E9" s="2">
        <v>4</v>
      </c>
      <c r="F9" s="10" t="s">
        <v>42</v>
      </c>
      <c r="G9" s="4">
        <v>160000</v>
      </c>
      <c r="H9" s="4">
        <v>32000</v>
      </c>
      <c r="I9" s="2">
        <v>1</v>
      </c>
    </row>
    <row r="10" spans="1:9" x14ac:dyDescent="0.2">
      <c r="A10" s="11" t="s">
        <v>217</v>
      </c>
      <c r="B10" s="39">
        <v>4</v>
      </c>
      <c r="C10" s="2">
        <v>0</v>
      </c>
      <c r="D10" s="10" t="s">
        <v>101</v>
      </c>
      <c r="E10" s="2">
        <v>1</v>
      </c>
      <c r="F10" s="10" t="s">
        <v>19</v>
      </c>
      <c r="G10" s="4">
        <v>40000</v>
      </c>
      <c r="H10" s="4">
        <v>8000</v>
      </c>
      <c r="I10" s="2">
        <v>2</v>
      </c>
    </row>
    <row r="11" spans="1:9" x14ac:dyDescent="0.2">
      <c r="A11" s="11" t="s">
        <v>218</v>
      </c>
      <c r="B11" s="39">
        <v>2</v>
      </c>
      <c r="C11" s="2">
        <v>0</v>
      </c>
      <c r="D11" s="10" t="s">
        <v>71</v>
      </c>
      <c r="E11" s="2">
        <v>2</v>
      </c>
      <c r="F11" s="10" t="s">
        <v>42</v>
      </c>
      <c r="G11" s="4">
        <v>120000</v>
      </c>
      <c r="H11" s="4">
        <v>24000</v>
      </c>
      <c r="I11" s="2">
        <v>2</v>
      </c>
    </row>
    <row r="12" spans="1:9" x14ac:dyDescent="0.2">
      <c r="A12" s="11" t="s">
        <v>219</v>
      </c>
      <c r="B12" s="39">
        <v>10</v>
      </c>
      <c r="C12" s="2">
        <v>0</v>
      </c>
      <c r="D12" s="10" t="s">
        <v>46</v>
      </c>
      <c r="E12" s="2">
        <v>2</v>
      </c>
      <c r="F12" s="10" t="s">
        <v>42</v>
      </c>
      <c r="G12" s="4">
        <v>150000</v>
      </c>
      <c r="H12" s="4">
        <v>30000</v>
      </c>
      <c r="I12" s="2">
        <v>5</v>
      </c>
    </row>
    <row r="13" spans="1:9" x14ac:dyDescent="0.2">
      <c r="A13" s="11" t="s">
        <v>57</v>
      </c>
      <c r="B13" s="39">
        <v>1</v>
      </c>
      <c r="C13" s="2">
        <v>1</v>
      </c>
      <c r="D13" s="10" t="s">
        <v>46</v>
      </c>
      <c r="E13" s="2">
        <v>1</v>
      </c>
      <c r="F13" s="10" t="s">
        <v>19</v>
      </c>
      <c r="G13" s="4">
        <v>40000</v>
      </c>
      <c r="H13" s="4">
        <v>8000</v>
      </c>
      <c r="I13" s="2">
        <v>2</v>
      </c>
    </row>
    <row r="14" spans="1:9" x14ac:dyDescent="0.2">
      <c r="A14" s="11" t="s">
        <v>220</v>
      </c>
      <c r="B14" s="39">
        <v>2</v>
      </c>
      <c r="C14" s="2">
        <v>0</v>
      </c>
      <c r="D14" s="10" t="s">
        <v>221</v>
      </c>
      <c r="E14" s="2">
        <v>2</v>
      </c>
      <c r="F14" s="10" t="s">
        <v>42</v>
      </c>
      <c r="G14" s="4">
        <v>100000</v>
      </c>
      <c r="H14" s="4">
        <v>20000</v>
      </c>
      <c r="I14" s="2">
        <v>2</v>
      </c>
    </row>
    <row r="15" spans="1:9" x14ac:dyDescent="0.2">
      <c r="A15" s="11" t="s">
        <v>222</v>
      </c>
      <c r="B15" s="39">
        <v>2</v>
      </c>
      <c r="C15" s="2">
        <v>0</v>
      </c>
      <c r="D15" s="10" t="s">
        <v>213</v>
      </c>
      <c r="E15" s="2">
        <v>4</v>
      </c>
      <c r="F15" s="10" t="s">
        <v>42</v>
      </c>
      <c r="G15" s="4">
        <v>100000</v>
      </c>
      <c r="H15" s="4">
        <v>20000</v>
      </c>
      <c r="I15" s="2">
        <v>1</v>
      </c>
    </row>
    <row r="16" spans="1:9" x14ac:dyDescent="0.2">
      <c r="A16" s="11" t="s">
        <v>223</v>
      </c>
      <c r="B16" s="39">
        <v>2</v>
      </c>
      <c r="C16" s="2">
        <v>0</v>
      </c>
      <c r="D16" s="10" t="s">
        <v>224</v>
      </c>
      <c r="E16" s="2">
        <v>1</v>
      </c>
      <c r="F16" s="10" t="s">
        <v>19</v>
      </c>
      <c r="G16" s="4">
        <v>40000</v>
      </c>
      <c r="H16" s="4">
        <v>8000</v>
      </c>
      <c r="I16" s="2">
        <v>1</v>
      </c>
    </row>
    <row r="17" spans="1:11" x14ac:dyDescent="0.2">
      <c r="A17" s="11" t="s">
        <v>319</v>
      </c>
      <c r="B17" s="39">
        <v>3</v>
      </c>
      <c r="C17" s="2">
        <v>0</v>
      </c>
      <c r="D17" s="10" t="s">
        <v>50</v>
      </c>
      <c r="E17" s="2">
        <v>1</v>
      </c>
      <c r="F17" s="10" t="s">
        <v>19</v>
      </c>
      <c r="G17" s="4">
        <v>30000</v>
      </c>
      <c r="H17" s="4">
        <v>6000</v>
      </c>
      <c r="I17" s="2">
        <v>5</v>
      </c>
    </row>
    <row r="18" spans="1:11" x14ac:dyDescent="0.2">
      <c r="A18" s="11" t="s">
        <v>225</v>
      </c>
      <c r="B18" s="39">
        <v>3</v>
      </c>
      <c r="C18" s="2">
        <v>0</v>
      </c>
      <c r="D18" s="10" t="s">
        <v>213</v>
      </c>
      <c r="E18" s="2">
        <v>2</v>
      </c>
      <c r="F18" s="10" t="s">
        <v>42</v>
      </c>
      <c r="G18" s="4">
        <v>150000</v>
      </c>
      <c r="H18" s="4">
        <v>30000</v>
      </c>
      <c r="I18" s="2">
        <v>2</v>
      </c>
    </row>
    <row r="19" spans="1:11" x14ac:dyDescent="0.2">
      <c r="A19" s="11" t="s">
        <v>226</v>
      </c>
      <c r="B19" s="39">
        <v>3</v>
      </c>
      <c r="C19" s="2">
        <v>0</v>
      </c>
      <c r="D19" s="10" t="s">
        <v>101</v>
      </c>
      <c r="E19" s="2">
        <v>1</v>
      </c>
      <c r="F19" s="10" t="s">
        <v>19</v>
      </c>
      <c r="G19" s="4">
        <v>30000</v>
      </c>
      <c r="H19" s="4">
        <v>6000</v>
      </c>
      <c r="I19" s="2">
        <v>1</v>
      </c>
    </row>
    <row r="20" spans="1:11" x14ac:dyDescent="0.2">
      <c r="A20" s="11" t="s">
        <v>227</v>
      </c>
      <c r="B20" s="39">
        <v>0.5</v>
      </c>
      <c r="C20" s="2">
        <v>0</v>
      </c>
      <c r="D20" s="10" t="s">
        <v>228</v>
      </c>
      <c r="E20" s="2">
        <v>1</v>
      </c>
      <c r="F20" s="10" t="s">
        <v>19</v>
      </c>
      <c r="G20" s="4">
        <v>30000</v>
      </c>
      <c r="H20" s="4">
        <v>6000</v>
      </c>
      <c r="I20" s="2">
        <v>2</v>
      </c>
    </row>
    <row r="21" spans="1:11" x14ac:dyDescent="0.2">
      <c r="A21" s="11" t="s">
        <v>229</v>
      </c>
      <c r="B21" s="39">
        <v>0</v>
      </c>
      <c r="C21" s="2">
        <v>0</v>
      </c>
      <c r="D21" s="10" t="s">
        <v>230</v>
      </c>
      <c r="E21" s="2">
        <v>1</v>
      </c>
      <c r="F21" s="10" t="s">
        <v>42</v>
      </c>
      <c r="G21" s="4">
        <v>60000</v>
      </c>
      <c r="H21" s="4">
        <v>12000</v>
      </c>
      <c r="I21" s="2">
        <v>1</v>
      </c>
    </row>
    <row r="22" spans="1:11" x14ac:dyDescent="0.2">
      <c r="A22" s="11" t="s">
        <v>231</v>
      </c>
      <c r="B22" s="39">
        <v>2</v>
      </c>
      <c r="C22" s="2">
        <v>0</v>
      </c>
      <c r="D22" s="10" t="s">
        <v>50</v>
      </c>
      <c r="E22" s="2">
        <v>1</v>
      </c>
      <c r="F22" s="10" t="s">
        <v>19</v>
      </c>
      <c r="G22" s="4">
        <v>30000</v>
      </c>
      <c r="H22" s="4">
        <v>6000</v>
      </c>
      <c r="I22" s="2">
        <v>4</v>
      </c>
    </row>
    <row r="23" spans="1:11" x14ac:dyDescent="0.2">
      <c r="A23" s="11" t="s">
        <v>232</v>
      </c>
      <c r="B23" s="39">
        <v>4</v>
      </c>
      <c r="C23" s="2">
        <v>0</v>
      </c>
      <c r="D23" s="10" t="s">
        <v>233</v>
      </c>
      <c r="E23" s="2">
        <v>1</v>
      </c>
      <c r="F23" s="10" t="s">
        <v>19</v>
      </c>
      <c r="G23" s="4">
        <v>60000</v>
      </c>
      <c r="H23" s="4">
        <v>12000</v>
      </c>
      <c r="I23" s="2">
        <v>2</v>
      </c>
    </row>
    <row r="24" spans="1:11" x14ac:dyDescent="0.2">
      <c r="A24" s="11" t="s">
        <v>234</v>
      </c>
      <c r="B24" s="39">
        <v>2</v>
      </c>
      <c r="C24" s="2">
        <v>0</v>
      </c>
      <c r="D24" s="10" t="s">
        <v>18</v>
      </c>
      <c r="E24" s="2">
        <v>1</v>
      </c>
      <c r="F24" s="10" t="s">
        <v>19</v>
      </c>
      <c r="G24" s="4">
        <v>30000</v>
      </c>
      <c r="H24" s="4">
        <v>6000</v>
      </c>
      <c r="I24" s="2">
        <v>5</v>
      </c>
    </row>
    <row r="25" spans="1:11" x14ac:dyDescent="0.2">
      <c r="A25" s="11" t="s">
        <v>235</v>
      </c>
      <c r="B25" s="39">
        <v>1</v>
      </c>
      <c r="C25" s="2">
        <v>0</v>
      </c>
      <c r="D25" s="10" t="s">
        <v>224</v>
      </c>
      <c r="E25" s="2">
        <v>1</v>
      </c>
      <c r="F25" s="10" t="s">
        <v>19</v>
      </c>
      <c r="G25" s="4">
        <v>25000</v>
      </c>
      <c r="H25" s="4">
        <v>5000</v>
      </c>
      <c r="I25" s="2">
        <v>0</v>
      </c>
    </row>
    <row r="26" spans="1:11" x14ac:dyDescent="0.2">
      <c r="A26" s="11" t="s">
        <v>236</v>
      </c>
      <c r="B26" s="39">
        <v>20</v>
      </c>
      <c r="C26" s="2">
        <v>0</v>
      </c>
      <c r="D26" s="10" t="s">
        <v>237</v>
      </c>
      <c r="E26" s="2">
        <v>4</v>
      </c>
      <c r="F26" s="10" t="s">
        <v>19</v>
      </c>
      <c r="G26" s="4">
        <v>400000</v>
      </c>
      <c r="H26" s="4">
        <v>80000</v>
      </c>
      <c r="I26" s="2">
        <v>2</v>
      </c>
      <c r="K26" s="4"/>
    </row>
    <row r="27" spans="1:11" x14ac:dyDescent="0.2">
      <c r="A27" s="11" t="s">
        <v>238</v>
      </c>
      <c r="B27" s="39">
        <v>0</v>
      </c>
      <c r="C27" s="2">
        <v>0</v>
      </c>
      <c r="D27" s="10" t="s">
        <v>230</v>
      </c>
      <c r="E27" s="2">
        <v>1</v>
      </c>
      <c r="F27" s="10" t="s">
        <v>90</v>
      </c>
      <c r="G27" s="4">
        <v>5000</v>
      </c>
      <c r="H27" s="4">
        <v>500</v>
      </c>
      <c r="I27" s="2">
        <v>1</v>
      </c>
    </row>
    <row r="28" spans="1:11" x14ac:dyDescent="0.2">
      <c r="A28" s="11" t="s">
        <v>239</v>
      </c>
      <c r="B28" s="39">
        <v>6</v>
      </c>
      <c r="C28" s="2">
        <v>0</v>
      </c>
      <c r="D28" s="10" t="s">
        <v>240</v>
      </c>
      <c r="E28" s="10" t="s">
        <v>101</v>
      </c>
      <c r="F28" s="10" t="s">
        <v>83</v>
      </c>
      <c r="G28" s="4">
        <v>150000</v>
      </c>
      <c r="H28" s="4">
        <v>15000</v>
      </c>
      <c r="I28" s="2">
        <v>4</v>
      </c>
    </row>
    <row r="29" spans="1:11" x14ac:dyDescent="0.2">
      <c r="A29" s="11" t="s">
        <v>241</v>
      </c>
      <c r="B29" s="39">
        <v>4</v>
      </c>
      <c r="C29" s="10">
        <v>0</v>
      </c>
      <c r="D29" s="10" t="s">
        <v>242</v>
      </c>
      <c r="E29" s="10" t="s">
        <v>101</v>
      </c>
      <c r="F29" s="10" t="s">
        <v>83</v>
      </c>
      <c r="G29" s="4">
        <v>75000</v>
      </c>
      <c r="H29" s="4">
        <v>7500</v>
      </c>
      <c r="I29" s="2">
        <v>3</v>
      </c>
    </row>
    <row r="30" spans="1:11" x14ac:dyDescent="0.2">
      <c r="A30" s="11" t="s">
        <v>243</v>
      </c>
      <c r="B30" s="39">
        <v>150</v>
      </c>
      <c r="C30" s="2">
        <v>0</v>
      </c>
      <c r="D30" s="10" t="s">
        <v>82</v>
      </c>
      <c r="E30" s="10" t="s">
        <v>101</v>
      </c>
      <c r="F30" s="10" t="s">
        <v>83</v>
      </c>
      <c r="G30" s="4">
        <v>1000000</v>
      </c>
      <c r="H30" s="4">
        <v>50000</v>
      </c>
      <c r="I30" s="2">
        <v>5</v>
      </c>
    </row>
    <row r="31" spans="1:11" x14ac:dyDescent="0.2">
      <c r="A31" s="11" t="s">
        <v>244</v>
      </c>
      <c r="B31" s="39">
        <v>30</v>
      </c>
      <c r="C31" s="2">
        <v>0</v>
      </c>
      <c r="D31" s="10" t="s">
        <v>240</v>
      </c>
      <c r="E31" s="10" t="s">
        <v>101</v>
      </c>
      <c r="F31" s="10" t="s">
        <v>83</v>
      </c>
      <c r="G31" s="4">
        <v>750000</v>
      </c>
      <c r="H31" s="4">
        <v>75000</v>
      </c>
      <c r="I31" s="2">
        <v>4</v>
      </c>
    </row>
    <row r="32" spans="1:11" x14ac:dyDescent="0.2">
      <c r="A32" s="11" t="s">
        <v>245</v>
      </c>
      <c r="B32" s="39">
        <v>0</v>
      </c>
      <c r="C32" s="2">
        <v>0</v>
      </c>
      <c r="D32" s="10" t="s">
        <v>21</v>
      </c>
      <c r="E32" s="2">
        <v>1</v>
      </c>
      <c r="F32" s="10" t="s">
        <v>90</v>
      </c>
      <c r="G32" s="4">
        <v>10000</v>
      </c>
      <c r="H32" s="4">
        <v>1000</v>
      </c>
      <c r="I32" s="2">
        <v>1</v>
      </c>
    </row>
    <row r="33" spans="1:9" x14ac:dyDescent="0.2">
      <c r="A33" s="11" t="s">
        <v>246</v>
      </c>
      <c r="B33" s="39">
        <v>3</v>
      </c>
      <c r="C33" s="2">
        <v>0</v>
      </c>
      <c r="D33" s="10" t="s">
        <v>230</v>
      </c>
      <c r="E33" s="10" t="s">
        <v>101</v>
      </c>
      <c r="F33" s="10" t="s">
        <v>90</v>
      </c>
      <c r="G33" s="4">
        <v>70000</v>
      </c>
      <c r="H33" s="4">
        <v>14000</v>
      </c>
      <c r="I33" s="2">
        <v>1</v>
      </c>
    </row>
    <row r="34" spans="1:9" x14ac:dyDescent="0.2">
      <c r="A34" s="11" t="s">
        <v>247</v>
      </c>
      <c r="B34" s="39">
        <v>3</v>
      </c>
      <c r="C34" s="2">
        <v>0</v>
      </c>
      <c r="D34" s="10" t="s">
        <v>248</v>
      </c>
      <c r="E34" s="10" t="s">
        <v>101</v>
      </c>
      <c r="F34" s="10" t="s">
        <v>90</v>
      </c>
      <c r="G34" s="4">
        <v>50000</v>
      </c>
      <c r="H34" s="4">
        <v>10000</v>
      </c>
      <c r="I34" s="2">
        <v>2</v>
      </c>
    </row>
    <row r="35" spans="1:9" x14ac:dyDescent="0.2">
      <c r="A35" s="11" t="s">
        <v>249</v>
      </c>
      <c r="B35" s="39">
        <v>4</v>
      </c>
      <c r="C35" s="2">
        <v>0</v>
      </c>
      <c r="D35" s="10" t="s">
        <v>250</v>
      </c>
      <c r="E35" s="10" t="s">
        <v>101</v>
      </c>
      <c r="F35" s="10" t="s">
        <v>90</v>
      </c>
      <c r="G35" s="4">
        <v>600000</v>
      </c>
      <c r="H35" s="4">
        <v>60000</v>
      </c>
      <c r="I35" s="2">
        <v>2</v>
      </c>
    </row>
    <row r="36" spans="1:9" x14ac:dyDescent="0.2">
      <c r="A36" s="11" t="s">
        <v>251</v>
      </c>
      <c r="B36" s="39">
        <v>300</v>
      </c>
      <c r="C36" s="2">
        <v>0</v>
      </c>
      <c r="D36" s="10" t="s">
        <v>252</v>
      </c>
      <c r="E36" s="10" t="s">
        <v>101</v>
      </c>
      <c r="F36" s="10" t="s">
        <v>83</v>
      </c>
      <c r="G36" s="4">
        <v>4000000</v>
      </c>
      <c r="H36" s="4">
        <v>400000</v>
      </c>
      <c r="I36" s="2">
        <v>5</v>
      </c>
    </row>
    <row r="37" spans="1:9" x14ac:dyDescent="0.2">
      <c r="A37" s="11" t="s">
        <v>253</v>
      </c>
      <c r="B37" s="39">
        <v>10</v>
      </c>
      <c r="C37" s="2">
        <v>0</v>
      </c>
      <c r="D37" s="10" t="s">
        <v>254</v>
      </c>
      <c r="E37" s="10" t="s">
        <v>101</v>
      </c>
      <c r="F37" s="10" t="s">
        <v>90</v>
      </c>
      <c r="G37" s="4">
        <v>500000</v>
      </c>
      <c r="H37" s="4">
        <v>100000</v>
      </c>
      <c r="I37" s="2">
        <v>2</v>
      </c>
    </row>
    <row r="38" spans="1:9" x14ac:dyDescent="0.2">
      <c r="A38" s="11" t="s">
        <v>255</v>
      </c>
      <c r="B38" s="39">
        <v>2</v>
      </c>
      <c r="C38" s="10">
        <v>0</v>
      </c>
      <c r="D38" s="10" t="s">
        <v>256</v>
      </c>
      <c r="E38" s="2">
        <v>1</v>
      </c>
      <c r="F38" s="10" t="s">
        <v>257</v>
      </c>
      <c r="G38" s="4">
        <v>60000</v>
      </c>
      <c r="H38" s="4">
        <v>12000</v>
      </c>
      <c r="I38" s="2">
        <v>0</v>
      </c>
    </row>
    <row r="39" spans="1:9" x14ac:dyDescent="0.2">
      <c r="A39" s="11" t="s">
        <v>258</v>
      </c>
      <c r="B39" s="39">
        <v>2</v>
      </c>
      <c r="C39" s="2">
        <v>0</v>
      </c>
      <c r="D39" s="10" t="s">
        <v>256</v>
      </c>
      <c r="E39" s="2">
        <v>1</v>
      </c>
      <c r="F39" s="10" t="s">
        <v>90</v>
      </c>
      <c r="G39" s="4">
        <v>30000</v>
      </c>
      <c r="H39" s="4">
        <v>6000</v>
      </c>
      <c r="I39" s="2">
        <v>0</v>
      </c>
    </row>
    <row r="40" spans="1:9" x14ac:dyDescent="0.2">
      <c r="A40" s="11" t="s">
        <v>259</v>
      </c>
      <c r="B40" s="39">
        <v>5</v>
      </c>
      <c r="C40" s="2">
        <v>0</v>
      </c>
      <c r="D40" s="10" t="s">
        <v>260</v>
      </c>
      <c r="E40" s="10">
        <v>1</v>
      </c>
      <c r="F40" s="10" t="s">
        <v>19</v>
      </c>
      <c r="G40" s="4">
        <v>200000</v>
      </c>
      <c r="H40" s="4">
        <v>40000</v>
      </c>
      <c r="I40" s="2">
        <v>0</v>
      </c>
    </row>
    <row r="41" spans="1:9" x14ac:dyDescent="0.2">
      <c r="A41" s="11" t="s">
        <v>261</v>
      </c>
      <c r="B41" s="39">
        <v>1</v>
      </c>
      <c r="C41" s="2">
        <v>0</v>
      </c>
      <c r="D41" s="10" t="s">
        <v>221</v>
      </c>
      <c r="E41" s="10">
        <v>2</v>
      </c>
      <c r="F41" s="10" t="s">
        <v>42</v>
      </c>
      <c r="G41" s="4">
        <v>50000</v>
      </c>
      <c r="H41" s="4">
        <v>10000</v>
      </c>
      <c r="I41" s="2">
        <v>0</v>
      </c>
    </row>
    <row r="42" spans="1:9" x14ac:dyDescent="0.2">
      <c r="A42" s="11" t="s">
        <v>262</v>
      </c>
      <c r="B42" s="39">
        <v>1</v>
      </c>
      <c r="C42" s="2">
        <v>0</v>
      </c>
      <c r="D42" s="10" t="s">
        <v>131</v>
      </c>
      <c r="E42" s="10">
        <v>2</v>
      </c>
      <c r="F42" s="10" t="s">
        <v>104</v>
      </c>
      <c r="G42" s="4">
        <v>120000</v>
      </c>
      <c r="H42" s="4">
        <v>40000</v>
      </c>
      <c r="I42" s="2">
        <v>0</v>
      </c>
    </row>
    <row r="43" spans="1:9" x14ac:dyDescent="0.2">
      <c r="A43" s="11" t="s">
        <v>263</v>
      </c>
      <c r="B43" s="39">
        <v>2</v>
      </c>
      <c r="C43" s="2">
        <v>0</v>
      </c>
      <c r="D43" s="10" t="s">
        <v>264</v>
      </c>
      <c r="E43" s="10">
        <v>2</v>
      </c>
      <c r="F43" s="10" t="s">
        <v>104</v>
      </c>
      <c r="G43" s="4">
        <v>600000</v>
      </c>
      <c r="H43" s="4">
        <v>60000</v>
      </c>
      <c r="I43" s="2">
        <v>1</v>
      </c>
    </row>
    <row r="44" spans="1:9" x14ac:dyDescent="0.2">
      <c r="A44" s="11" t="s">
        <v>265</v>
      </c>
      <c r="B44" s="39">
        <v>2</v>
      </c>
      <c r="C44" s="2">
        <v>0</v>
      </c>
      <c r="D44" s="10" t="s">
        <v>266</v>
      </c>
      <c r="E44" s="10">
        <v>1</v>
      </c>
      <c r="F44" s="10" t="s">
        <v>267</v>
      </c>
      <c r="G44" s="4">
        <v>60000</v>
      </c>
      <c r="H44" s="4">
        <v>20000</v>
      </c>
      <c r="I44" s="2">
        <v>0</v>
      </c>
    </row>
    <row r="45" spans="1:9" x14ac:dyDescent="0.2">
      <c r="A45" s="11" t="s">
        <v>268</v>
      </c>
      <c r="B45" s="39">
        <v>150</v>
      </c>
      <c r="C45" s="2">
        <v>0</v>
      </c>
      <c r="D45" s="10" t="s">
        <v>269</v>
      </c>
      <c r="E45" s="10" t="s">
        <v>101</v>
      </c>
      <c r="F45" s="10" t="s">
        <v>104</v>
      </c>
      <c r="G45" s="4">
        <v>10000000</v>
      </c>
      <c r="H45" s="4">
        <v>400000</v>
      </c>
      <c r="I45" s="2">
        <v>0</v>
      </c>
    </row>
    <row r="46" spans="1:9" x14ac:dyDescent="0.2">
      <c r="A46" s="11" t="s">
        <v>270</v>
      </c>
      <c r="B46" s="39">
        <v>5</v>
      </c>
      <c r="C46" s="2">
        <v>0</v>
      </c>
      <c r="D46" s="10" t="s">
        <v>271</v>
      </c>
      <c r="E46" s="10">
        <v>1</v>
      </c>
      <c r="F46" s="10" t="s">
        <v>267</v>
      </c>
      <c r="G46" s="4">
        <v>300000</v>
      </c>
      <c r="H46" s="4">
        <v>60000</v>
      </c>
      <c r="I46" s="2">
        <v>1</v>
      </c>
    </row>
    <row r="47" spans="1:9" x14ac:dyDescent="0.2">
      <c r="A47" s="11" t="s">
        <v>272</v>
      </c>
      <c r="B47" s="39">
        <v>15</v>
      </c>
      <c r="C47" s="2">
        <v>0</v>
      </c>
      <c r="D47" s="10" t="s">
        <v>106</v>
      </c>
      <c r="E47" s="10">
        <v>8</v>
      </c>
      <c r="F47" s="10" t="s">
        <v>104</v>
      </c>
      <c r="G47" s="4">
        <v>800000</v>
      </c>
      <c r="H47" s="4">
        <v>40000</v>
      </c>
      <c r="I47" s="2">
        <v>0</v>
      </c>
    </row>
    <row r="48" spans="1:9" x14ac:dyDescent="0.2">
      <c r="A48" s="11" t="s">
        <v>273</v>
      </c>
      <c r="B48" s="39">
        <v>40</v>
      </c>
      <c r="C48" s="2">
        <v>0</v>
      </c>
      <c r="D48" s="10" t="s">
        <v>237</v>
      </c>
      <c r="E48" s="10">
        <v>8</v>
      </c>
      <c r="F48" s="10" t="s">
        <v>19</v>
      </c>
      <c r="G48" s="4">
        <v>800000</v>
      </c>
      <c r="H48" s="4">
        <v>40000</v>
      </c>
      <c r="I48" s="2">
        <v>0</v>
      </c>
    </row>
    <row r="49" spans="1:9" x14ac:dyDescent="0.2">
      <c r="A49" s="11" t="s">
        <v>274</v>
      </c>
      <c r="B49" s="39">
        <v>20</v>
      </c>
      <c r="C49" s="2">
        <v>0</v>
      </c>
      <c r="D49" s="10" t="s">
        <v>275</v>
      </c>
      <c r="E49" s="10">
        <v>8</v>
      </c>
      <c r="F49" s="10" t="s">
        <v>19</v>
      </c>
      <c r="G49" s="4">
        <v>800000</v>
      </c>
      <c r="H49" s="4">
        <v>40000</v>
      </c>
      <c r="I49" s="2">
        <v>0</v>
      </c>
    </row>
    <row r="50" spans="1:9" x14ac:dyDescent="0.2">
      <c r="A50" s="11" t="s">
        <v>276</v>
      </c>
      <c r="B50" s="39">
        <v>250</v>
      </c>
      <c r="C50" s="2">
        <v>0</v>
      </c>
      <c r="D50" s="10" t="s">
        <v>277</v>
      </c>
      <c r="E50" s="10" t="s">
        <v>101</v>
      </c>
      <c r="F50" s="10" t="s">
        <v>83</v>
      </c>
      <c r="G50" s="4">
        <v>10000000</v>
      </c>
      <c r="H50" s="4">
        <v>400000</v>
      </c>
      <c r="I50" s="2">
        <v>0</v>
      </c>
    </row>
    <row r="51" spans="1:9" x14ac:dyDescent="0.2">
      <c r="A51" s="11" t="s">
        <v>278</v>
      </c>
      <c r="B51" s="39">
        <v>8</v>
      </c>
      <c r="C51" s="2">
        <v>0</v>
      </c>
      <c r="D51" s="10" t="s">
        <v>101</v>
      </c>
      <c r="E51" s="2">
        <v>4</v>
      </c>
      <c r="F51" s="10" t="s">
        <v>19</v>
      </c>
      <c r="G51" s="4">
        <v>80000</v>
      </c>
      <c r="H51" s="4">
        <v>8000</v>
      </c>
      <c r="I51" s="2">
        <v>0</v>
      </c>
    </row>
    <row r="52" spans="1:9" x14ac:dyDescent="0.2">
      <c r="A52" s="11" t="s">
        <v>279</v>
      </c>
      <c r="B52" s="39">
        <v>20</v>
      </c>
      <c r="C52" s="2">
        <v>0</v>
      </c>
      <c r="D52" s="10" t="s">
        <v>98</v>
      </c>
      <c r="E52" s="10" t="s">
        <v>101</v>
      </c>
      <c r="F52" s="10" t="s">
        <v>83</v>
      </c>
      <c r="G52" s="4">
        <v>1000000</v>
      </c>
      <c r="H52" s="4">
        <v>20000</v>
      </c>
      <c r="I52" s="2">
        <v>0</v>
      </c>
    </row>
    <row r="53" spans="1:9" x14ac:dyDescent="0.2">
      <c r="A53" s="11" t="s">
        <v>280</v>
      </c>
      <c r="B53" s="39">
        <v>400</v>
      </c>
      <c r="C53" s="2">
        <v>0</v>
      </c>
      <c r="D53" s="10" t="s">
        <v>275</v>
      </c>
      <c r="E53" s="10" t="s">
        <v>101</v>
      </c>
      <c r="F53" s="10" t="s">
        <v>19</v>
      </c>
      <c r="G53" s="4">
        <v>16000000</v>
      </c>
      <c r="H53" s="4">
        <v>640000</v>
      </c>
      <c r="I53" s="2">
        <v>0</v>
      </c>
    </row>
    <row r="54" spans="1:9" x14ac:dyDescent="0.2">
      <c r="A54" s="11"/>
      <c r="D54" s="10"/>
      <c r="F54" s="10"/>
    </row>
    <row r="55" spans="1:9" x14ac:dyDescent="0.2">
      <c r="A55" s="11"/>
      <c r="D55" s="10"/>
      <c r="F55" s="10"/>
    </row>
    <row r="56" spans="1:9" x14ac:dyDescent="0.2">
      <c r="A56" s="11"/>
      <c r="D56" s="10"/>
      <c r="E56" s="10"/>
      <c r="F56" s="10"/>
    </row>
    <row r="57" spans="1:9" x14ac:dyDescent="0.2">
      <c r="A57" s="11"/>
      <c r="B57" s="14"/>
      <c r="C57" s="10"/>
      <c r="D57" s="10"/>
      <c r="E57" s="10"/>
      <c r="F57" s="10"/>
      <c r="G57" s="14"/>
      <c r="H57" s="14"/>
      <c r="I57" s="10"/>
    </row>
    <row r="58" spans="1:9" x14ac:dyDescent="0.2">
      <c r="A58" s="11"/>
      <c r="D58" s="10"/>
      <c r="F58" s="10"/>
    </row>
    <row r="59" spans="1:9" x14ac:dyDescent="0.2">
      <c r="A59" s="11"/>
      <c r="D59" s="10"/>
      <c r="F59" s="10"/>
    </row>
    <row r="60" spans="1:9" x14ac:dyDescent="0.2">
      <c r="A60" s="11"/>
      <c r="D60" s="10"/>
      <c r="F60" s="10"/>
    </row>
    <row r="61" spans="1:9" x14ac:dyDescent="0.2">
      <c r="A61" s="11"/>
      <c r="D61" s="10"/>
      <c r="E61" s="10"/>
      <c r="F61" s="10"/>
    </row>
    <row r="62" spans="1:9" x14ac:dyDescent="0.2">
      <c r="A62" s="11"/>
      <c r="D62" s="10"/>
      <c r="F62" s="10"/>
    </row>
    <row r="63" spans="1:9" x14ac:dyDescent="0.2">
      <c r="A63" s="11"/>
      <c r="D63" s="10"/>
      <c r="F63" s="10"/>
    </row>
    <row r="64" spans="1:9" x14ac:dyDescent="0.2">
      <c r="A64" s="11"/>
      <c r="D64" s="10"/>
      <c r="F64" s="10"/>
    </row>
    <row r="65" spans="1:9" x14ac:dyDescent="0.2">
      <c r="A65" s="11"/>
      <c r="D65" s="10"/>
      <c r="F65" s="10"/>
    </row>
    <row r="66" spans="1:9" x14ac:dyDescent="0.2">
      <c r="A66" s="11"/>
      <c r="D66" s="10"/>
      <c r="F66" s="10"/>
    </row>
    <row r="67" spans="1:9" x14ac:dyDescent="0.2">
      <c r="A67" s="11"/>
      <c r="D67" s="10"/>
      <c r="F67" s="10"/>
    </row>
    <row r="68" spans="1:9" x14ac:dyDescent="0.2">
      <c r="A68" s="11"/>
      <c r="B68" s="14"/>
      <c r="C68" s="10"/>
      <c r="D68" s="10"/>
      <c r="E68" s="10"/>
      <c r="F68" s="10"/>
      <c r="G68" s="14"/>
      <c r="H68" s="14"/>
      <c r="I68" s="10"/>
    </row>
  </sheetData>
  <sheetProtection formatCells="0" formatColumns="0" formatRows="0" insertColumns="0" insertRows="0" insertHyperlinks="0" deleteColumns="0" deleteRows="0" sort="0" autoFilter="0" pivotTables="0"/>
  <phoneticPr fontId="1"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76"/>
  <sheetViews>
    <sheetView zoomScale="75" zoomScaleNormal="75" workbookViewId="0">
      <selection activeCell="A67" sqref="A67"/>
    </sheetView>
  </sheetViews>
  <sheetFormatPr defaultColWidth="17.28515625" defaultRowHeight="12.75" x14ac:dyDescent="0.2"/>
  <cols>
    <col min="1" max="1" width="21.7109375" style="5" bestFit="1" customWidth="1"/>
    <col min="2" max="2" width="10.5703125" style="4" customWidth="1"/>
    <col min="3" max="3" width="10" style="2" bestFit="1" customWidth="1"/>
    <col min="4" max="4" width="17.140625" style="2" bestFit="1" customWidth="1"/>
    <col min="5" max="5" width="6.28515625" style="2" customWidth="1"/>
    <col min="6" max="6" width="7.42578125" style="2" customWidth="1"/>
    <col min="7" max="7" width="16" style="4" customWidth="1"/>
    <col min="8" max="8" width="11.5703125" style="4" customWidth="1"/>
    <col min="9" max="9" width="5.28515625" style="2" customWidth="1"/>
    <col min="10" max="16384" width="17.28515625" style="2"/>
  </cols>
  <sheetData>
    <row r="1" spans="1:9" s="8" customFormat="1" x14ac:dyDescent="0.2">
      <c r="A1" s="6" t="s">
        <v>0</v>
      </c>
      <c r="B1" s="9" t="s">
        <v>1</v>
      </c>
      <c r="C1" s="7" t="s">
        <v>56</v>
      </c>
      <c r="D1" s="7" t="s">
        <v>2</v>
      </c>
      <c r="E1" s="7" t="s">
        <v>3</v>
      </c>
      <c r="F1" s="7" t="s">
        <v>4</v>
      </c>
      <c r="G1" s="7" t="s">
        <v>5</v>
      </c>
      <c r="H1" s="7" t="s">
        <v>6</v>
      </c>
      <c r="I1" s="7" t="s">
        <v>7</v>
      </c>
    </row>
    <row r="2" spans="1:9" x14ac:dyDescent="0.2">
      <c r="A2" s="11" t="s">
        <v>101</v>
      </c>
      <c r="B2" s="14">
        <v>0</v>
      </c>
      <c r="C2" s="10" t="s">
        <v>101</v>
      </c>
      <c r="D2" s="10" t="s">
        <v>101</v>
      </c>
      <c r="E2" s="10" t="s">
        <v>101</v>
      </c>
      <c r="F2" s="10" t="s">
        <v>101</v>
      </c>
      <c r="G2" s="14">
        <v>0</v>
      </c>
      <c r="H2" s="14">
        <v>0</v>
      </c>
      <c r="I2" s="10">
        <v>6</v>
      </c>
    </row>
    <row r="3" spans="1:9" x14ac:dyDescent="0.2">
      <c r="A3" s="5" t="s">
        <v>23</v>
      </c>
      <c r="B3" s="4">
        <v>100</v>
      </c>
      <c r="C3" s="2">
        <v>1</v>
      </c>
      <c r="D3" s="2" t="s">
        <v>24</v>
      </c>
      <c r="E3" s="2">
        <v>2</v>
      </c>
      <c r="F3" s="2">
        <v>0</v>
      </c>
      <c r="G3" s="4">
        <v>75000</v>
      </c>
      <c r="H3" s="4">
        <v>5000</v>
      </c>
      <c r="I3" s="2">
        <v>6</v>
      </c>
    </row>
    <row r="4" spans="1:9" x14ac:dyDescent="0.2">
      <c r="A4" s="5" t="s">
        <v>25</v>
      </c>
      <c r="B4" s="4">
        <v>100</v>
      </c>
      <c r="C4" s="2">
        <v>0</v>
      </c>
      <c r="D4" s="2" t="s">
        <v>26</v>
      </c>
      <c r="E4" s="2">
        <v>4</v>
      </c>
      <c r="F4" s="2" t="s">
        <v>27</v>
      </c>
      <c r="G4" s="4">
        <v>200000</v>
      </c>
      <c r="H4" s="4">
        <v>10000</v>
      </c>
      <c r="I4" s="2">
        <v>7</v>
      </c>
    </row>
    <row r="5" spans="1:9" x14ac:dyDescent="0.2">
      <c r="A5" s="5" t="s">
        <v>28</v>
      </c>
      <c r="B5" s="4">
        <v>40</v>
      </c>
      <c r="C5" s="2">
        <v>0</v>
      </c>
      <c r="D5" s="2" t="s">
        <v>29</v>
      </c>
      <c r="E5" s="2">
        <v>4</v>
      </c>
      <c r="F5" s="2" t="s">
        <v>22</v>
      </c>
      <c r="G5" s="4">
        <v>120000</v>
      </c>
      <c r="H5" s="4">
        <v>6000</v>
      </c>
      <c r="I5" s="2">
        <v>6</v>
      </c>
    </row>
    <row r="6" spans="1:9" x14ac:dyDescent="0.2">
      <c r="A6" s="5" t="s">
        <v>30</v>
      </c>
      <c r="B6" s="4">
        <v>100</v>
      </c>
      <c r="C6" s="2">
        <v>0</v>
      </c>
      <c r="D6" s="2" t="s">
        <v>31</v>
      </c>
      <c r="E6" s="2">
        <v>4</v>
      </c>
      <c r="F6" s="2" t="s">
        <v>27</v>
      </c>
      <c r="G6" s="4">
        <v>300000</v>
      </c>
      <c r="H6" s="4">
        <v>15000</v>
      </c>
      <c r="I6" s="2">
        <v>6</v>
      </c>
    </row>
    <row r="7" spans="1:9" x14ac:dyDescent="0.2">
      <c r="A7" s="5" t="s">
        <v>32</v>
      </c>
      <c r="B7" s="4">
        <v>240</v>
      </c>
      <c r="C7" s="2">
        <v>1</v>
      </c>
      <c r="D7" s="2" t="s">
        <v>24</v>
      </c>
      <c r="E7" s="2">
        <v>1</v>
      </c>
      <c r="F7" s="2" t="s">
        <v>19</v>
      </c>
      <c r="G7" s="4">
        <v>45000</v>
      </c>
      <c r="H7" s="4">
        <v>9000</v>
      </c>
      <c r="I7" s="2">
        <v>7</v>
      </c>
    </row>
    <row r="8" spans="1:9" x14ac:dyDescent="0.2">
      <c r="A8" s="5" t="s">
        <v>33</v>
      </c>
      <c r="B8" s="4">
        <v>800</v>
      </c>
      <c r="C8" s="2">
        <v>0</v>
      </c>
      <c r="D8" s="2" t="s">
        <v>34</v>
      </c>
      <c r="E8" s="2">
        <v>1</v>
      </c>
      <c r="F8" s="2" t="s">
        <v>19</v>
      </c>
      <c r="G8" s="4">
        <v>200000</v>
      </c>
      <c r="H8" s="4">
        <v>40000</v>
      </c>
      <c r="I8" s="2">
        <v>9</v>
      </c>
    </row>
    <row r="9" spans="1:9" x14ac:dyDescent="0.2">
      <c r="A9" s="5" t="s">
        <v>35</v>
      </c>
      <c r="B9" s="4">
        <v>100</v>
      </c>
      <c r="C9" s="2">
        <v>0</v>
      </c>
      <c r="D9" s="2" t="s">
        <v>36</v>
      </c>
      <c r="E9" s="2">
        <v>4</v>
      </c>
      <c r="F9" s="2" t="s">
        <v>27</v>
      </c>
      <c r="G9" s="4">
        <v>150000</v>
      </c>
      <c r="H9" s="4">
        <v>7500</v>
      </c>
      <c r="I9" s="2">
        <v>7</v>
      </c>
    </row>
    <row r="10" spans="1:9" x14ac:dyDescent="0.2">
      <c r="A10" s="5" t="s">
        <v>37</v>
      </c>
      <c r="B10" s="4">
        <v>40</v>
      </c>
      <c r="C10" s="2">
        <v>0</v>
      </c>
      <c r="D10" s="2" t="s">
        <v>38</v>
      </c>
      <c r="E10" s="2">
        <v>1</v>
      </c>
      <c r="F10" s="2" t="s">
        <v>19</v>
      </c>
      <c r="G10" s="4">
        <v>60000</v>
      </c>
      <c r="H10" s="4">
        <v>12000</v>
      </c>
      <c r="I10" s="2">
        <v>6</v>
      </c>
    </row>
    <row r="11" spans="1:9" x14ac:dyDescent="0.2">
      <c r="A11" s="5" t="s">
        <v>39</v>
      </c>
      <c r="B11" s="4">
        <v>50</v>
      </c>
      <c r="C11" s="2">
        <v>1</v>
      </c>
      <c r="D11" s="2" t="s">
        <v>40</v>
      </c>
      <c r="E11" s="2">
        <v>1</v>
      </c>
      <c r="F11" s="2">
        <v>0</v>
      </c>
      <c r="G11" s="4">
        <v>100000</v>
      </c>
      <c r="H11" s="4">
        <v>20000</v>
      </c>
      <c r="I11" s="2">
        <v>6</v>
      </c>
    </row>
    <row r="12" spans="1:9" x14ac:dyDescent="0.2">
      <c r="A12" s="5" t="s">
        <v>41</v>
      </c>
      <c r="B12" s="4">
        <v>2</v>
      </c>
      <c r="C12" s="2">
        <v>0</v>
      </c>
      <c r="D12" s="2" t="s">
        <v>21</v>
      </c>
      <c r="E12" s="2">
        <v>2</v>
      </c>
      <c r="F12" s="10" t="s">
        <v>19</v>
      </c>
      <c r="G12" s="4">
        <v>10000</v>
      </c>
      <c r="H12" s="4">
        <v>1000</v>
      </c>
      <c r="I12" s="2">
        <v>6</v>
      </c>
    </row>
    <row r="13" spans="1:9" x14ac:dyDescent="0.2">
      <c r="A13" s="5" t="s">
        <v>43</v>
      </c>
      <c r="B13" s="4">
        <v>200</v>
      </c>
      <c r="C13" s="2">
        <v>1</v>
      </c>
      <c r="D13" s="2" t="s">
        <v>44</v>
      </c>
      <c r="E13" s="2">
        <v>3</v>
      </c>
      <c r="F13" s="2">
        <v>0</v>
      </c>
      <c r="G13" s="4">
        <v>200000</v>
      </c>
      <c r="H13" s="4">
        <v>10000</v>
      </c>
      <c r="I13" s="2">
        <v>6</v>
      </c>
    </row>
    <row r="14" spans="1:9" x14ac:dyDescent="0.2">
      <c r="A14" s="5" t="s">
        <v>45</v>
      </c>
      <c r="B14" s="4">
        <v>300</v>
      </c>
      <c r="C14" s="2">
        <v>1</v>
      </c>
      <c r="D14" s="2" t="s">
        <v>46</v>
      </c>
      <c r="E14" s="2">
        <v>3</v>
      </c>
      <c r="F14" s="2">
        <v>0</v>
      </c>
      <c r="G14" s="4">
        <v>300000</v>
      </c>
      <c r="H14" s="4">
        <v>15000</v>
      </c>
      <c r="I14" s="2">
        <v>6</v>
      </c>
    </row>
    <row r="15" spans="1:9" x14ac:dyDescent="0.2">
      <c r="A15" s="5" t="s">
        <v>47</v>
      </c>
      <c r="B15" s="4">
        <v>400</v>
      </c>
      <c r="C15" s="2">
        <v>0</v>
      </c>
      <c r="D15" s="2" t="s">
        <v>48</v>
      </c>
      <c r="E15" s="2">
        <v>8</v>
      </c>
      <c r="F15" s="2" t="s">
        <v>27</v>
      </c>
      <c r="G15" s="4">
        <v>1000000</v>
      </c>
      <c r="H15" s="4">
        <v>40000</v>
      </c>
      <c r="I15" s="2">
        <v>6</v>
      </c>
    </row>
    <row r="16" spans="1:9" x14ac:dyDescent="0.2">
      <c r="A16" s="5" t="s">
        <v>20</v>
      </c>
      <c r="B16" s="4">
        <v>10</v>
      </c>
      <c r="C16" s="2">
        <v>0</v>
      </c>
      <c r="D16" s="2" t="s">
        <v>21</v>
      </c>
      <c r="E16" s="2">
        <v>4</v>
      </c>
      <c r="F16" s="2" t="s">
        <v>22</v>
      </c>
      <c r="G16" s="4">
        <v>30000</v>
      </c>
      <c r="H16" s="4">
        <v>1500</v>
      </c>
      <c r="I16" s="2">
        <v>6</v>
      </c>
    </row>
    <row r="17" spans="1:11" x14ac:dyDescent="0.2">
      <c r="A17" s="5" t="s">
        <v>49</v>
      </c>
      <c r="B17" s="4">
        <v>50</v>
      </c>
      <c r="C17" s="2">
        <v>1</v>
      </c>
      <c r="D17" s="2" t="s">
        <v>50</v>
      </c>
      <c r="E17" s="2">
        <v>0.5</v>
      </c>
      <c r="F17" s="2" t="s">
        <v>19</v>
      </c>
      <c r="G17" s="4">
        <v>50000</v>
      </c>
      <c r="H17" s="4">
        <v>10000</v>
      </c>
      <c r="I17" s="2">
        <v>6</v>
      </c>
    </row>
    <row r="18" spans="1:11" x14ac:dyDescent="0.2">
      <c r="A18" s="5" t="s">
        <v>51</v>
      </c>
      <c r="B18" s="4">
        <v>200</v>
      </c>
      <c r="C18" s="2">
        <v>0</v>
      </c>
      <c r="D18" s="2" t="s">
        <v>26</v>
      </c>
      <c r="E18" s="2">
        <v>8</v>
      </c>
      <c r="F18" s="2" t="s">
        <v>27</v>
      </c>
      <c r="G18" s="4">
        <v>400000</v>
      </c>
      <c r="H18" s="4">
        <v>16000</v>
      </c>
      <c r="I18" s="2">
        <v>7</v>
      </c>
    </row>
    <row r="19" spans="1:11" x14ac:dyDescent="0.2">
      <c r="A19" s="5" t="s">
        <v>52</v>
      </c>
      <c r="B19" s="4">
        <v>100</v>
      </c>
      <c r="C19" s="2">
        <v>0</v>
      </c>
      <c r="D19" s="2" t="s">
        <v>53</v>
      </c>
      <c r="E19" s="2">
        <v>8</v>
      </c>
      <c r="F19" s="2" t="s">
        <v>27</v>
      </c>
      <c r="G19" s="4">
        <v>300000</v>
      </c>
      <c r="H19" s="4">
        <v>12000</v>
      </c>
      <c r="I19" s="2">
        <v>7</v>
      </c>
    </row>
    <row r="20" spans="1:11" x14ac:dyDescent="0.2">
      <c r="A20" s="5" t="s">
        <v>54</v>
      </c>
      <c r="B20" s="4">
        <v>40</v>
      </c>
      <c r="C20" s="2">
        <v>0</v>
      </c>
      <c r="D20" s="2" t="s">
        <v>55</v>
      </c>
      <c r="E20" s="2">
        <v>4</v>
      </c>
      <c r="F20" s="2" t="s">
        <v>22</v>
      </c>
      <c r="G20" s="4">
        <v>70000</v>
      </c>
      <c r="H20" s="4">
        <v>3500</v>
      </c>
      <c r="I20" s="2">
        <v>6</v>
      </c>
    </row>
    <row r="21" spans="1:11" x14ac:dyDescent="0.2">
      <c r="A21" s="5" t="s">
        <v>57</v>
      </c>
      <c r="B21" s="4">
        <v>60</v>
      </c>
      <c r="C21" s="2">
        <v>1</v>
      </c>
      <c r="D21" s="2" t="s">
        <v>46</v>
      </c>
      <c r="E21" s="2">
        <v>2</v>
      </c>
      <c r="F21" s="2">
        <v>0</v>
      </c>
      <c r="G21" s="4">
        <v>60000</v>
      </c>
      <c r="H21" s="4">
        <v>4000</v>
      </c>
      <c r="I21" s="2">
        <v>6</v>
      </c>
    </row>
    <row r="22" spans="1:11" x14ac:dyDescent="0.2">
      <c r="A22" s="5" t="s">
        <v>58</v>
      </c>
      <c r="B22" s="4">
        <v>40</v>
      </c>
      <c r="C22" s="2">
        <v>0</v>
      </c>
      <c r="D22" s="2" t="s">
        <v>29</v>
      </c>
      <c r="E22" s="2">
        <v>4</v>
      </c>
      <c r="F22" s="2" t="s">
        <v>27</v>
      </c>
      <c r="G22" s="4">
        <v>140000</v>
      </c>
      <c r="H22" s="4">
        <v>7000</v>
      </c>
      <c r="I22" s="2">
        <v>6</v>
      </c>
    </row>
    <row r="23" spans="1:11" x14ac:dyDescent="0.2">
      <c r="A23" s="5" t="s">
        <v>59</v>
      </c>
      <c r="B23" s="4">
        <v>10</v>
      </c>
      <c r="C23" s="2">
        <v>0</v>
      </c>
      <c r="D23" s="2" t="s">
        <v>60</v>
      </c>
      <c r="E23" s="2">
        <v>2</v>
      </c>
      <c r="F23" s="2" t="s">
        <v>22</v>
      </c>
      <c r="G23" s="4">
        <v>25000</v>
      </c>
      <c r="H23" s="4">
        <v>2500</v>
      </c>
      <c r="I23" s="2">
        <v>6</v>
      </c>
    </row>
    <row r="24" spans="1:11" x14ac:dyDescent="0.2">
      <c r="A24" s="5" t="s">
        <v>61</v>
      </c>
      <c r="B24" s="4">
        <v>100</v>
      </c>
      <c r="C24" s="2">
        <v>1</v>
      </c>
      <c r="D24" s="2" t="s">
        <v>62</v>
      </c>
      <c r="E24" s="2">
        <v>0.5</v>
      </c>
      <c r="F24" s="2" t="s">
        <v>19</v>
      </c>
      <c r="G24" s="4">
        <v>37500</v>
      </c>
      <c r="H24" s="4">
        <v>7500</v>
      </c>
      <c r="I24" s="2">
        <v>7</v>
      </c>
    </row>
    <row r="25" spans="1:11" x14ac:dyDescent="0.2">
      <c r="A25" s="5" t="s">
        <v>63</v>
      </c>
      <c r="B25" s="4">
        <v>500</v>
      </c>
      <c r="C25" s="2">
        <v>0</v>
      </c>
      <c r="D25" s="2" t="s">
        <v>64</v>
      </c>
      <c r="E25" s="2">
        <v>8</v>
      </c>
      <c r="F25" s="2" t="s">
        <v>27</v>
      </c>
      <c r="G25" s="4">
        <v>750000</v>
      </c>
      <c r="H25" s="4">
        <v>30000</v>
      </c>
      <c r="I25" s="2">
        <v>7</v>
      </c>
      <c r="K25" s="4"/>
    </row>
    <row r="26" spans="1:11" x14ac:dyDescent="0.2">
      <c r="A26" s="5" t="s">
        <v>65</v>
      </c>
      <c r="B26" s="4">
        <v>100</v>
      </c>
      <c r="C26" s="2">
        <v>0</v>
      </c>
      <c r="D26" s="2" t="s">
        <v>64</v>
      </c>
      <c r="E26" s="2">
        <v>8</v>
      </c>
      <c r="F26" s="2" t="s">
        <v>27</v>
      </c>
      <c r="G26" s="4">
        <v>300000</v>
      </c>
      <c r="H26" s="4">
        <v>15000</v>
      </c>
      <c r="I26" s="2">
        <v>6</v>
      </c>
    </row>
    <row r="27" spans="1:11" x14ac:dyDescent="0.2">
      <c r="A27" s="5" t="s">
        <v>66</v>
      </c>
      <c r="B27" s="4">
        <v>800</v>
      </c>
      <c r="C27" s="2">
        <v>1</v>
      </c>
      <c r="D27" s="2" t="s">
        <v>62</v>
      </c>
      <c r="E27" s="2">
        <v>4</v>
      </c>
      <c r="F27" s="2" t="s">
        <v>22</v>
      </c>
      <c r="G27" s="4">
        <v>1000000</v>
      </c>
      <c r="H27" s="4">
        <v>50000</v>
      </c>
      <c r="I27" s="2">
        <v>7</v>
      </c>
    </row>
    <row r="28" spans="1:11" x14ac:dyDescent="0.2">
      <c r="A28" s="5" t="s">
        <v>67</v>
      </c>
      <c r="B28" s="4">
        <v>50</v>
      </c>
      <c r="C28" s="2">
        <v>1</v>
      </c>
      <c r="D28" s="2" t="s">
        <v>46</v>
      </c>
      <c r="E28" s="2">
        <v>1</v>
      </c>
      <c r="F28" s="2" t="s">
        <v>19</v>
      </c>
      <c r="G28" s="4">
        <v>25000</v>
      </c>
      <c r="H28" s="4">
        <v>5000</v>
      </c>
      <c r="I28" s="2">
        <v>6</v>
      </c>
    </row>
    <row r="29" spans="1:11" x14ac:dyDescent="0.2">
      <c r="A29" s="5" t="s">
        <v>68</v>
      </c>
      <c r="B29" s="4">
        <v>160</v>
      </c>
      <c r="C29" s="2">
        <v>0</v>
      </c>
      <c r="D29" s="2" t="s">
        <v>69</v>
      </c>
      <c r="E29" s="2">
        <v>2</v>
      </c>
      <c r="F29" s="2" t="s">
        <v>22</v>
      </c>
      <c r="G29" s="4">
        <v>140000</v>
      </c>
      <c r="H29" s="4">
        <v>9000</v>
      </c>
      <c r="I29" s="2">
        <v>7</v>
      </c>
    </row>
    <row r="30" spans="1:11" x14ac:dyDescent="0.2">
      <c r="A30" s="5" t="s">
        <v>70</v>
      </c>
      <c r="B30" s="4">
        <v>10</v>
      </c>
      <c r="C30" s="2">
        <v>0</v>
      </c>
      <c r="D30" s="2" t="s">
        <v>71</v>
      </c>
      <c r="E30" s="2">
        <v>1</v>
      </c>
      <c r="F30" s="2" t="s">
        <v>22</v>
      </c>
      <c r="G30" s="4">
        <v>25000</v>
      </c>
      <c r="H30" s="4">
        <v>2500</v>
      </c>
      <c r="I30" s="2">
        <v>6</v>
      </c>
    </row>
    <row r="31" spans="1:11" x14ac:dyDescent="0.2">
      <c r="A31" s="5" t="s">
        <v>72</v>
      </c>
      <c r="B31" s="4">
        <v>20</v>
      </c>
      <c r="C31" s="2">
        <v>0</v>
      </c>
      <c r="D31" s="2" t="s">
        <v>71</v>
      </c>
      <c r="E31" s="2">
        <v>2</v>
      </c>
      <c r="F31" s="2" t="s">
        <v>42</v>
      </c>
      <c r="G31" s="4">
        <v>100000</v>
      </c>
      <c r="H31" s="4">
        <v>20000</v>
      </c>
      <c r="I31" s="2">
        <v>6</v>
      </c>
    </row>
    <row r="32" spans="1:11" x14ac:dyDescent="0.2">
      <c r="A32" s="5" t="s">
        <v>17</v>
      </c>
      <c r="B32" s="4">
        <v>40</v>
      </c>
      <c r="C32" s="2">
        <v>0</v>
      </c>
      <c r="D32" s="2" t="s">
        <v>18</v>
      </c>
      <c r="E32" s="2">
        <v>1</v>
      </c>
      <c r="F32" s="2" t="s">
        <v>19</v>
      </c>
      <c r="G32" s="4">
        <v>60000</v>
      </c>
      <c r="H32" s="4">
        <v>12000</v>
      </c>
      <c r="I32" s="2">
        <v>6</v>
      </c>
    </row>
    <row r="33" spans="1:9" x14ac:dyDescent="0.2">
      <c r="A33" s="5" t="s">
        <v>73</v>
      </c>
      <c r="B33" s="4">
        <v>200</v>
      </c>
      <c r="C33" s="2">
        <v>0</v>
      </c>
      <c r="D33" s="2" t="s">
        <v>55</v>
      </c>
      <c r="E33" s="2">
        <v>8</v>
      </c>
      <c r="F33" s="2" t="s">
        <v>27</v>
      </c>
      <c r="G33" s="4">
        <v>500000</v>
      </c>
      <c r="H33" s="4">
        <v>25000</v>
      </c>
      <c r="I33" s="2">
        <v>7</v>
      </c>
    </row>
    <row r="34" spans="1:9" x14ac:dyDescent="0.2">
      <c r="A34" s="5" t="s">
        <v>74</v>
      </c>
      <c r="B34" s="4">
        <v>500</v>
      </c>
      <c r="C34" s="2">
        <v>1</v>
      </c>
      <c r="D34" s="2" t="s">
        <v>46</v>
      </c>
      <c r="E34" s="2">
        <v>8</v>
      </c>
      <c r="F34" s="2" t="s">
        <v>27</v>
      </c>
      <c r="G34" s="4">
        <v>500000</v>
      </c>
      <c r="H34" s="4">
        <v>20000</v>
      </c>
      <c r="I34" s="2">
        <v>7</v>
      </c>
    </row>
    <row r="35" spans="1:9" x14ac:dyDescent="0.2">
      <c r="A35" s="5" t="s">
        <v>75</v>
      </c>
      <c r="B35" s="4">
        <v>100</v>
      </c>
      <c r="C35" s="2">
        <v>1</v>
      </c>
      <c r="D35" s="2" t="s">
        <v>46</v>
      </c>
      <c r="E35" s="2">
        <v>4</v>
      </c>
      <c r="F35" s="2" t="s">
        <v>27</v>
      </c>
      <c r="G35" s="4">
        <v>200000</v>
      </c>
      <c r="H35" s="4">
        <v>10000</v>
      </c>
      <c r="I35" s="2">
        <v>6</v>
      </c>
    </row>
    <row r="36" spans="1:9" x14ac:dyDescent="0.2">
      <c r="A36" s="5" t="s">
        <v>76</v>
      </c>
      <c r="B36" s="4">
        <v>20000</v>
      </c>
      <c r="C36" s="2">
        <v>0</v>
      </c>
      <c r="D36" s="10" t="s">
        <v>77</v>
      </c>
      <c r="E36" s="2">
        <v>16</v>
      </c>
      <c r="F36" s="10" t="s">
        <v>27</v>
      </c>
      <c r="G36" s="4">
        <v>6000000</v>
      </c>
      <c r="H36" s="4">
        <v>200000</v>
      </c>
      <c r="I36" s="2">
        <v>10</v>
      </c>
    </row>
    <row r="37" spans="1:9" x14ac:dyDescent="0.2">
      <c r="A37" s="11" t="s">
        <v>78</v>
      </c>
      <c r="B37" s="4">
        <v>50000</v>
      </c>
      <c r="C37" s="2">
        <v>1</v>
      </c>
      <c r="D37" s="10" t="s">
        <v>62</v>
      </c>
      <c r="E37" s="2">
        <v>16</v>
      </c>
      <c r="F37" s="2">
        <v>0</v>
      </c>
      <c r="G37" s="4">
        <v>60000000</v>
      </c>
      <c r="H37" s="4">
        <v>2000000</v>
      </c>
      <c r="I37" s="2">
        <v>7</v>
      </c>
    </row>
    <row r="38" spans="1:9" x14ac:dyDescent="0.2">
      <c r="A38" s="11" t="s">
        <v>79</v>
      </c>
      <c r="B38" s="4">
        <v>20</v>
      </c>
      <c r="C38" s="2">
        <v>0</v>
      </c>
      <c r="D38" s="10" t="s">
        <v>80</v>
      </c>
      <c r="E38" s="2">
        <v>4</v>
      </c>
      <c r="F38" s="10" t="s">
        <v>27</v>
      </c>
      <c r="G38" s="4">
        <v>80000</v>
      </c>
      <c r="H38" s="4">
        <v>4000</v>
      </c>
      <c r="I38" s="2">
        <v>6</v>
      </c>
    </row>
    <row r="39" spans="1:9" x14ac:dyDescent="0.2">
      <c r="A39" s="11" t="s">
        <v>81</v>
      </c>
      <c r="B39" s="4">
        <v>40000</v>
      </c>
      <c r="C39" s="2">
        <v>0</v>
      </c>
      <c r="D39" s="10" t="s">
        <v>82</v>
      </c>
      <c r="E39" s="10" t="s">
        <v>101</v>
      </c>
      <c r="F39" s="10" t="s">
        <v>83</v>
      </c>
      <c r="G39" s="4">
        <v>600000000</v>
      </c>
      <c r="H39" s="4">
        <v>24000000</v>
      </c>
      <c r="I39" s="2">
        <v>6</v>
      </c>
    </row>
    <row r="40" spans="1:9" x14ac:dyDescent="0.2">
      <c r="A40" s="11" t="s">
        <v>84</v>
      </c>
      <c r="B40" s="4">
        <v>48000</v>
      </c>
      <c r="C40" s="2">
        <v>0</v>
      </c>
      <c r="D40" s="10" t="s">
        <v>85</v>
      </c>
      <c r="E40" s="10" t="s">
        <v>101</v>
      </c>
      <c r="F40" s="10" t="s">
        <v>83</v>
      </c>
      <c r="G40" s="4">
        <v>900000000</v>
      </c>
      <c r="H40" s="4">
        <v>36000000</v>
      </c>
      <c r="I40" s="2">
        <v>6</v>
      </c>
    </row>
    <row r="41" spans="1:9" x14ac:dyDescent="0.2">
      <c r="A41" s="11" t="s">
        <v>86</v>
      </c>
      <c r="B41" s="4">
        <v>1000</v>
      </c>
      <c r="C41" s="2">
        <v>0</v>
      </c>
      <c r="D41" s="10" t="s">
        <v>87</v>
      </c>
      <c r="E41" s="10" t="s">
        <v>101</v>
      </c>
      <c r="F41" s="10" t="s">
        <v>83</v>
      </c>
      <c r="G41" s="4">
        <v>15000000</v>
      </c>
      <c r="H41" s="4">
        <v>600000</v>
      </c>
      <c r="I41" s="2">
        <v>6</v>
      </c>
    </row>
    <row r="42" spans="1:9" x14ac:dyDescent="0.2">
      <c r="A42" s="11" t="s">
        <v>88</v>
      </c>
      <c r="B42" s="4">
        <v>100</v>
      </c>
      <c r="C42" s="2">
        <v>0</v>
      </c>
      <c r="D42" s="10" t="s">
        <v>89</v>
      </c>
      <c r="E42" s="10" t="s">
        <v>101</v>
      </c>
      <c r="F42" s="10" t="s">
        <v>90</v>
      </c>
      <c r="G42" s="4">
        <v>750000</v>
      </c>
      <c r="H42" s="4">
        <v>30000</v>
      </c>
      <c r="I42" s="2">
        <v>6</v>
      </c>
    </row>
    <row r="43" spans="1:9" x14ac:dyDescent="0.2">
      <c r="A43" s="11" t="s">
        <v>91</v>
      </c>
      <c r="B43" s="4">
        <v>16000</v>
      </c>
      <c r="C43" s="2">
        <v>0</v>
      </c>
      <c r="D43" s="10" t="s">
        <v>92</v>
      </c>
      <c r="E43" s="10" t="s">
        <v>101</v>
      </c>
      <c r="F43" s="10" t="s">
        <v>83</v>
      </c>
      <c r="G43" s="4">
        <v>100000000</v>
      </c>
      <c r="H43" s="4">
        <v>4000000</v>
      </c>
      <c r="I43" s="2">
        <v>7</v>
      </c>
    </row>
    <row r="44" spans="1:9" x14ac:dyDescent="0.2">
      <c r="A44" s="11" t="s">
        <v>94</v>
      </c>
      <c r="B44" s="4">
        <v>240</v>
      </c>
      <c r="C44" s="2">
        <v>0</v>
      </c>
      <c r="D44" s="10" t="s">
        <v>95</v>
      </c>
      <c r="E44" s="10" t="s">
        <v>101</v>
      </c>
      <c r="F44" s="10" t="s">
        <v>90</v>
      </c>
      <c r="G44" s="4">
        <v>2400000</v>
      </c>
      <c r="H44" s="4">
        <v>96000</v>
      </c>
      <c r="I44" s="2">
        <v>6</v>
      </c>
    </row>
    <row r="45" spans="1:9" x14ac:dyDescent="0.2">
      <c r="A45" s="5" t="s">
        <v>93</v>
      </c>
      <c r="B45" s="4">
        <v>20</v>
      </c>
      <c r="C45" s="2">
        <v>0</v>
      </c>
      <c r="D45" s="10" t="s">
        <v>96</v>
      </c>
      <c r="E45" s="10" t="s">
        <v>101</v>
      </c>
      <c r="F45" s="10" t="s">
        <v>90</v>
      </c>
      <c r="G45" s="4">
        <v>3000000</v>
      </c>
      <c r="H45" s="4">
        <v>100000</v>
      </c>
      <c r="I45" s="2">
        <v>6</v>
      </c>
    </row>
    <row r="46" spans="1:9" x14ac:dyDescent="0.2">
      <c r="A46" s="11" t="s">
        <v>97</v>
      </c>
      <c r="B46" s="4">
        <v>48000</v>
      </c>
      <c r="C46" s="2">
        <v>0</v>
      </c>
      <c r="D46" s="10" t="s">
        <v>98</v>
      </c>
      <c r="E46" s="10" t="s">
        <v>101</v>
      </c>
      <c r="F46" s="10" t="s">
        <v>83</v>
      </c>
      <c r="G46" s="4">
        <v>150000000</v>
      </c>
      <c r="H46" s="4">
        <v>6000000</v>
      </c>
      <c r="I46" s="2">
        <v>7</v>
      </c>
    </row>
    <row r="47" spans="1:9" x14ac:dyDescent="0.2">
      <c r="A47" s="11" t="s">
        <v>99</v>
      </c>
      <c r="B47" s="4">
        <v>3200</v>
      </c>
      <c r="C47" s="2">
        <v>0</v>
      </c>
      <c r="D47" s="10" t="s">
        <v>98</v>
      </c>
      <c r="E47" s="10" t="s">
        <v>101</v>
      </c>
      <c r="F47" s="10" t="s">
        <v>83</v>
      </c>
      <c r="G47" s="4">
        <v>20000000</v>
      </c>
      <c r="H47" s="4">
        <v>600000</v>
      </c>
      <c r="I47" s="2">
        <v>6</v>
      </c>
    </row>
    <row r="48" spans="1:9" x14ac:dyDescent="0.2">
      <c r="A48" s="11" t="s">
        <v>100</v>
      </c>
      <c r="B48" s="4">
        <v>5000</v>
      </c>
      <c r="C48" s="2">
        <v>1</v>
      </c>
      <c r="D48" s="10" t="s">
        <v>40</v>
      </c>
      <c r="E48" s="10" t="s">
        <v>101</v>
      </c>
      <c r="F48" s="10" t="s">
        <v>102</v>
      </c>
      <c r="G48" s="4">
        <v>120000000</v>
      </c>
      <c r="H48" s="4">
        <v>4000000</v>
      </c>
      <c r="I48" s="2">
        <v>7</v>
      </c>
    </row>
    <row r="49" spans="1:9" x14ac:dyDescent="0.2">
      <c r="A49" s="11" t="s">
        <v>103</v>
      </c>
      <c r="B49" s="4">
        <v>20</v>
      </c>
      <c r="C49" s="2">
        <v>0</v>
      </c>
      <c r="D49" s="10" t="s">
        <v>380</v>
      </c>
      <c r="E49" s="10" t="s">
        <v>101</v>
      </c>
      <c r="F49" s="10" t="s">
        <v>104</v>
      </c>
      <c r="G49" s="4">
        <v>300000</v>
      </c>
      <c r="H49" s="4">
        <v>10000</v>
      </c>
      <c r="I49" s="2">
        <v>6</v>
      </c>
    </row>
    <row r="50" spans="1:9" x14ac:dyDescent="0.2">
      <c r="A50" s="11" t="s">
        <v>105</v>
      </c>
      <c r="B50" s="4">
        <v>1000</v>
      </c>
      <c r="C50" s="2">
        <v>1</v>
      </c>
      <c r="D50" s="10" t="s">
        <v>106</v>
      </c>
      <c r="E50" s="2">
        <v>8</v>
      </c>
      <c r="F50" s="10" t="s">
        <v>104</v>
      </c>
      <c r="G50" s="4">
        <v>5000000</v>
      </c>
      <c r="H50" s="4">
        <v>200000</v>
      </c>
      <c r="I50" s="2">
        <v>7</v>
      </c>
    </row>
    <row r="51" spans="1:9" x14ac:dyDescent="0.2">
      <c r="A51" s="11" t="s">
        <v>107</v>
      </c>
      <c r="B51" s="4">
        <v>1000</v>
      </c>
      <c r="C51" s="2">
        <v>1</v>
      </c>
      <c r="D51" s="10" t="s">
        <v>108</v>
      </c>
      <c r="E51" s="2">
        <v>16</v>
      </c>
      <c r="F51" s="10" t="s">
        <v>102</v>
      </c>
      <c r="G51" s="4">
        <v>40000000</v>
      </c>
      <c r="H51" s="4">
        <v>1600000</v>
      </c>
      <c r="I51" s="2">
        <v>9</v>
      </c>
    </row>
    <row r="52" spans="1:9" x14ac:dyDescent="0.2">
      <c r="A52" s="11" t="s">
        <v>109</v>
      </c>
      <c r="B52" s="4">
        <v>800</v>
      </c>
      <c r="C52" s="2">
        <v>0</v>
      </c>
      <c r="D52" s="10" t="s">
        <v>110</v>
      </c>
      <c r="E52" s="2">
        <v>8</v>
      </c>
      <c r="F52" s="10" t="s">
        <v>104</v>
      </c>
      <c r="G52" s="4">
        <v>2000000</v>
      </c>
      <c r="H52" s="4">
        <v>80000</v>
      </c>
      <c r="I52" s="2">
        <v>10</v>
      </c>
    </row>
    <row r="53" spans="1:9" x14ac:dyDescent="0.2">
      <c r="A53" s="11" t="s">
        <v>111</v>
      </c>
      <c r="B53" s="4">
        <v>240000</v>
      </c>
      <c r="C53" s="2">
        <v>0</v>
      </c>
      <c r="D53" s="10" t="s">
        <v>112</v>
      </c>
      <c r="E53" s="10" t="s">
        <v>101</v>
      </c>
      <c r="F53" s="10" t="s">
        <v>102</v>
      </c>
      <c r="G53" s="4">
        <v>1800000000</v>
      </c>
      <c r="H53" s="4">
        <v>72000000</v>
      </c>
      <c r="I53" s="2">
        <v>10</v>
      </c>
    </row>
    <row r="54" spans="1:9" x14ac:dyDescent="0.2">
      <c r="A54" s="11" t="s">
        <v>113</v>
      </c>
      <c r="B54" s="4">
        <v>800</v>
      </c>
      <c r="C54" s="2">
        <v>0</v>
      </c>
      <c r="D54" s="10" t="s">
        <v>114</v>
      </c>
      <c r="E54" s="2">
        <v>1</v>
      </c>
      <c r="F54" s="10" t="s">
        <v>104</v>
      </c>
      <c r="G54" s="4">
        <v>2000000</v>
      </c>
      <c r="H54" s="4">
        <v>400000</v>
      </c>
      <c r="I54" s="2">
        <v>10</v>
      </c>
    </row>
    <row r="55" spans="1:9" x14ac:dyDescent="0.2">
      <c r="A55" s="11" t="s">
        <v>115</v>
      </c>
      <c r="B55" s="4">
        <v>1600</v>
      </c>
      <c r="C55" s="2">
        <v>0</v>
      </c>
      <c r="D55" s="10" t="s">
        <v>116</v>
      </c>
      <c r="E55" s="2">
        <v>8</v>
      </c>
      <c r="F55" s="10" t="s">
        <v>104</v>
      </c>
      <c r="G55" s="4">
        <v>3000000</v>
      </c>
      <c r="H55" s="4">
        <v>120000</v>
      </c>
      <c r="I55" s="2">
        <v>10</v>
      </c>
    </row>
    <row r="56" spans="1:9" x14ac:dyDescent="0.2">
      <c r="A56" s="11" t="s">
        <v>117</v>
      </c>
      <c r="B56" s="4">
        <v>0</v>
      </c>
      <c r="C56" s="2">
        <v>0</v>
      </c>
      <c r="D56" s="10" t="s">
        <v>118</v>
      </c>
      <c r="E56" s="10" t="s">
        <v>101</v>
      </c>
      <c r="F56" s="10" t="s">
        <v>102</v>
      </c>
      <c r="G56" s="4">
        <v>18000000</v>
      </c>
      <c r="H56" s="4">
        <v>600000</v>
      </c>
      <c r="I56" s="2">
        <v>7</v>
      </c>
    </row>
    <row r="57" spans="1:9" x14ac:dyDescent="0.2">
      <c r="A57" s="11" t="s">
        <v>119</v>
      </c>
      <c r="B57" s="4">
        <v>3000</v>
      </c>
      <c r="C57" s="2">
        <v>1</v>
      </c>
      <c r="D57" s="10" t="s">
        <v>106</v>
      </c>
      <c r="E57" s="10" t="s">
        <v>101</v>
      </c>
      <c r="F57" s="10" t="s">
        <v>102</v>
      </c>
      <c r="G57" s="4">
        <v>30000000</v>
      </c>
      <c r="H57" s="4">
        <v>1000000</v>
      </c>
      <c r="I57" s="2">
        <v>7</v>
      </c>
    </row>
    <row r="58" spans="1:9" x14ac:dyDescent="0.2">
      <c r="A58" s="11" t="s">
        <v>120</v>
      </c>
      <c r="B58" s="4">
        <v>2000</v>
      </c>
      <c r="C58" s="2">
        <v>1</v>
      </c>
      <c r="D58" s="10" t="s">
        <v>62</v>
      </c>
      <c r="E58" s="2">
        <v>8</v>
      </c>
      <c r="F58" s="10" t="s">
        <v>102</v>
      </c>
      <c r="G58" s="4">
        <v>10000000</v>
      </c>
      <c r="H58" s="4">
        <v>400000</v>
      </c>
      <c r="I58" s="2">
        <v>7</v>
      </c>
    </row>
    <row r="59" spans="1:9" x14ac:dyDescent="0.2">
      <c r="A59" s="11" t="s">
        <v>121</v>
      </c>
      <c r="B59" s="4">
        <v>1500</v>
      </c>
      <c r="C59" s="2">
        <v>1</v>
      </c>
      <c r="D59" s="10" t="s">
        <v>106</v>
      </c>
      <c r="E59" s="2">
        <v>8</v>
      </c>
      <c r="F59" s="10" t="s">
        <v>102</v>
      </c>
      <c r="G59" s="4">
        <v>15000000</v>
      </c>
      <c r="H59" s="4">
        <v>600000</v>
      </c>
      <c r="I59" s="2">
        <v>7</v>
      </c>
    </row>
    <row r="60" spans="1:9" x14ac:dyDescent="0.2">
      <c r="A60" s="11" t="s">
        <v>122</v>
      </c>
      <c r="B60" s="4">
        <v>0</v>
      </c>
      <c r="C60" s="2">
        <v>0</v>
      </c>
      <c r="D60" s="10" t="s">
        <v>123</v>
      </c>
      <c r="E60" s="2">
        <v>16</v>
      </c>
      <c r="F60" s="10" t="s">
        <v>102</v>
      </c>
      <c r="G60" s="4">
        <v>3750000</v>
      </c>
      <c r="H60" s="4">
        <v>125000</v>
      </c>
      <c r="I60" s="2">
        <v>6</v>
      </c>
    </row>
    <row r="61" spans="1:9" x14ac:dyDescent="0.2">
      <c r="A61" s="11" t="s">
        <v>124</v>
      </c>
      <c r="B61" s="4">
        <v>12000</v>
      </c>
      <c r="C61" s="2">
        <v>1</v>
      </c>
      <c r="D61" s="10" t="s">
        <v>40</v>
      </c>
      <c r="E61" s="10" t="s">
        <v>101</v>
      </c>
      <c r="F61" s="10" t="s">
        <v>102</v>
      </c>
      <c r="G61" s="4">
        <v>150000000</v>
      </c>
      <c r="H61" s="4">
        <v>5000000</v>
      </c>
      <c r="I61" s="2">
        <v>8</v>
      </c>
    </row>
    <row r="62" spans="1:9" x14ac:dyDescent="0.2">
      <c r="A62" s="11" t="s">
        <v>125</v>
      </c>
      <c r="B62" s="4">
        <v>150</v>
      </c>
      <c r="C62" s="2">
        <v>1</v>
      </c>
      <c r="D62" s="10" t="s">
        <v>106</v>
      </c>
      <c r="E62" s="2">
        <v>16</v>
      </c>
      <c r="F62" s="10" t="s">
        <v>102</v>
      </c>
      <c r="G62" s="4">
        <v>3000000</v>
      </c>
      <c r="H62" s="4">
        <v>100000</v>
      </c>
      <c r="I62" s="2">
        <v>6</v>
      </c>
    </row>
    <row r="63" spans="1:9" x14ac:dyDescent="0.2">
      <c r="A63" s="11" t="s">
        <v>126</v>
      </c>
      <c r="B63" s="4">
        <v>100</v>
      </c>
      <c r="C63" s="2">
        <v>1</v>
      </c>
      <c r="D63" s="10" t="s">
        <v>62</v>
      </c>
      <c r="E63" s="2">
        <v>8</v>
      </c>
      <c r="F63" s="10" t="s">
        <v>102</v>
      </c>
      <c r="G63" s="4">
        <v>1000000</v>
      </c>
      <c r="H63" s="4">
        <v>40000</v>
      </c>
      <c r="I63" s="2">
        <v>6</v>
      </c>
    </row>
    <row r="64" spans="1:9" x14ac:dyDescent="0.2">
      <c r="A64" s="11" t="s">
        <v>127</v>
      </c>
      <c r="B64" s="4">
        <v>75</v>
      </c>
      <c r="C64" s="2">
        <v>1</v>
      </c>
      <c r="D64" s="10" t="s">
        <v>106</v>
      </c>
      <c r="E64" s="2">
        <v>8</v>
      </c>
      <c r="F64" s="10" t="s">
        <v>102</v>
      </c>
      <c r="G64" s="4">
        <v>1500000</v>
      </c>
      <c r="H64" s="4">
        <v>60000</v>
      </c>
      <c r="I64" s="2">
        <v>6</v>
      </c>
    </row>
    <row r="65" spans="1:9" x14ac:dyDescent="0.2">
      <c r="A65" s="11" t="s">
        <v>128</v>
      </c>
      <c r="B65" s="4">
        <v>40</v>
      </c>
      <c r="C65" s="2">
        <v>0</v>
      </c>
      <c r="D65" s="10" t="s">
        <v>106</v>
      </c>
      <c r="E65" s="2">
        <v>4</v>
      </c>
      <c r="F65" s="10" t="s">
        <v>104</v>
      </c>
      <c r="G65" s="4">
        <v>400000</v>
      </c>
      <c r="H65" s="4">
        <v>20000</v>
      </c>
      <c r="I65" s="2">
        <v>6</v>
      </c>
    </row>
    <row r="66" spans="1:9" x14ac:dyDescent="0.2">
      <c r="A66" s="11" t="s">
        <v>129</v>
      </c>
      <c r="B66" s="4">
        <v>160</v>
      </c>
      <c r="C66" s="2">
        <v>0</v>
      </c>
      <c r="D66" s="10" t="s">
        <v>18</v>
      </c>
      <c r="E66" s="2">
        <v>1</v>
      </c>
      <c r="F66" s="10" t="s">
        <v>104</v>
      </c>
      <c r="G66" s="4">
        <v>300000</v>
      </c>
      <c r="H66" s="4">
        <v>60000</v>
      </c>
      <c r="I66" s="2">
        <v>10</v>
      </c>
    </row>
    <row r="67" spans="1:9" x14ac:dyDescent="0.2">
      <c r="A67" s="11" t="s">
        <v>130</v>
      </c>
      <c r="B67" s="4">
        <v>50</v>
      </c>
      <c r="C67" s="2">
        <v>1</v>
      </c>
      <c r="D67" s="10" t="s">
        <v>131</v>
      </c>
      <c r="E67" s="2">
        <v>8</v>
      </c>
      <c r="F67" s="10" t="s">
        <v>104</v>
      </c>
      <c r="G67" s="4">
        <v>750000</v>
      </c>
      <c r="H67" s="4">
        <v>30000</v>
      </c>
      <c r="I67" s="2">
        <v>7</v>
      </c>
    </row>
    <row r="76" spans="1:9" x14ac:dyDescent="0.2">
      <c r="A76" s="11"/>
      <c r="B76" s="14"/>
      <c r="C76" s="10"/>
      <c r="D76" s="10"/>
      <c r="E76" s="10"/>
      <c r="F76" s="10"/>
      <c r="G76" s="14"/>
      <c r="H76" s="14"/>
      <c r="I76" s="10"/>
    </row>
  </sheetData>
  <phoneticPr fontId="1"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K137"/>
  <sheetViews>
    <sheetView workbookViewId="0">
      <selection activeCell="B1" sqref="B1"/>
    </sheetView>
  </sheetViews>
  <sheetFormatPr defaultRowHeight="12.75" x14ac:dyDescent="0.2"/>
  <cols>
    <col min="1" max="1" width="23.42578125" style="5" customWidth="1"/>
    <col min="2" max="2" width="15.42578125" style="2" customWidth="1"/>
    <col min="3" max="3" width="12.7109375" style="2" hidden="1" customWidth="1"/>
    <col min="4" max="4" width="12.7109375" style="62" hidden="1" customWidth="1"/>
    <col min="5" max="5" width="17" style="2" bestFit="1" customWidth="1"/>
    <col min="6" max="6" width="7.42578125" style="2" customWidth="1"/>
    <col min="7" max="7" width="8.42578125" style="2" customWidth="1"/>
    <col min="8" max="8" width="15.85546875" style="16" bestFit="1" customWidth="1"/>
    <col min="9" max="9" width="12" style="16" customWidth="1"/>
    <col min="10" max="10" width="8.140625" style="2" customWidth="1"/>
    <col min="11" max="11" width="7.85546875" style="2" hidden="1" customWidth="1"/>
    <col min="12" max="12" width="11.140625" style="2" customWidth="1"/>
    <col min="13" max="13" width="19.5703125" style="2" customWidth="1"/>
    <col min="14" max="14" width="18" style="2" bestFit="1" customWidth="1"/>
    <col min="15" max="15" width="13.85546875" style="2" hidden="1" customWidth="1"/>
    <col min="16" max="17" width="16.42578125" style="2" hidden="1" customWidth="1"/>
    <col min="18" max="18" width="13.42578125" style="2" bestFit="1" customWidth="1"/>
    <col min="19" max="19" width="14" style="2" hidden="1" customWidth="1"/>
    <col min="20" max="21" width="16.5703125" style="2" hidden="1" customWidth="1"/>
    <col min="22" max="22" width="13.7109375" style="2" customWidth="1"/>
    <col min="23" max="25" width="13.7109375" style="2" hidden="1" customWidth="1"/>
    <col min="26" max="26" width="13.7109375" style="2" customWidth="1"/>
    <col min="27" max="29" width="13.7109375" style="2" hidden="1" customWidth="1"/>
    <col min="30" max="30" width="13.7109375" style="2" customWidth="1"/>
    <col min="31" max="33" width="13.7109375" style="2" hidden="1" customWidth="1"/>
    <col min="34" max="34" width="13.7109375" style="2" customWidth="1"/>
    <col min="35" max="37" width="13.7109375" style="2" hidden="1" customWidth="1"/>
    <col min="38" max="16384" width="9.140625" style="2"/>
  </cols>
  <sheetData>
    <row r="1" spans="1:37" x14ac:dyDescent="0.2">
      <c r="A1" s="23" t="s">
        <v>209</v>
      </c>
      <c r="B1" s="10" t="s">
        <v>413</v>
      </c>
    </row>
    <row r="2" spans="1:37" x14ac:dyDescent="0.2">
      <c r="A2" s="3" t="s">
        <v>0</v>
      </c>
      <c r="B2" s="1" t="s">
        <v>1</v>
      </c>
      <c r="C2" s="1" t="s">
        <v>56</v>
      </c>
      <c r="D2" s="1" t="s">
        <v>414</v>
      </c>
      <c r="E2" s="1" t="s">
        <v>2</v>
      </c>
      <c r="F2" s="1" t="s">
        <v>3</v>
      </c>
      <c r="G2" s="1" t="s">
        <v>4</v>
      </c>
      <c r="H2" s="15" t="s">
        <v>5</v>
      </c>
      <c r="I2" s="15" t="s">
        <v>6</v>
      </c>
      <c r="J2" s="1" t="s">
        <v>7</v>
      </c>
      <c r="K2" s="1" t="s">
        <v>16</v>
      </c>
      <c r="L2" s="1" t="s">
        <v>156</v>
      </c>
      <c r="M2" s="1" t="s">
        <v>155</v>
      </c>
      <c r="N2" s="1" t="s">
        <v>8</v>
      </c>
      <c r="O2" s="1" t="s">
        <v>12</v>
      </c>
      <c r="P2" s="1" t="s">
        <v>10</v>
      </c>
      <c r="Q2" s="1" t="s">
        <v>11</v>
      </c>
      <c r="R2" s="1" t="s">
        <v>9</v>
      </c>
      <c r="S2" s="1" t="s">
        <v>13</v>
      </c>
      <c r="T2" s="1" t="s">
        <v>14</v>
      </c>
      <c r="U2" s="1" t="s">
        <v>15</v>
      </c>
      <c r="V2" s="1" t="s">
        <v>193</v>
      </c>
      <c r="W2" s="10" t="s">
        <v>195</v>
      </c>
      <c r="X2" s="10" t="s">
        <v>196</v>
      </c>
      <c r="Y2" s="10" t="s">
        <v>197</v>
      </c>
      <c r="Z2" s="1" t="s">
        <v>194</v>
      </c>
      <c r="AA2" s="10" t="s">
        <v>198</v>
      </c>
      <c r="AB2" s="10" t="s">
        <v>199</v>
      </c>
      <c r="AC2" s="10" t="s">
        <v>200</v>
      </c>
      <c r="AD2" s="1" t="s">
        <v>201</v>
      </c>
      <c r="AE2" s="10" t="s">
        <v>202</v>
      </c>
      <c r="AF2" s="10" t="s">
        <v>203</v>
      </c>
      <c r="AG2" s="10" t="s">
        <v>204</v>
      </c>
      <c r="AH2" s="1" t="s">
        <v>205</v>
      </c>
      <c r="AI2" s="10" t="s">
        <v>206</v>
      </c>
      <c r="AJ2" s="10" t="s">
        <v>207</v>
      </c>
      <c r="AK2" s="10" t="s">
        <v>208</v>
      </c>
    </row>
    <row r="3" spans="1:37" x14ac:dyDescent="0.2">
      <c r="A3" s="5" t="s">
        <v>214</v>
      </c>
      <c r="B3" s="43">
        <f>((((VLOOKUP($A3,'TL0-5 Elements'!$A$2:$I$53,2,FALSE))*K3)*L3)*(1+O3+S3+W3+AA3+AE3+AI3))*M3</f>
        <v>37.5</v>
      </c>
      <c r="C3" s="43">
        <f>VLOOKUP($A3,'TL0-5 Elements'!$A$2:$I$53,3,FALSE)</f>
        <v>0</v>
      </c>
      <c r="D3" s="43">
        <f>IF(AND(COUNTIF(E3:E3,"*C3I*"),C3=1),B3*-0.1,0)</f>
        <v>0</v>
      </c>
      <c r="E3" s="43" t="str">
        <f>VLOOKUP($A3,'TL0-5 Elements'!$A$2:$I$53,4,FALSE)</f>
        <v>Cv</v>
      </c>
      <c r="F3" s="43">
        <f>VLOOKUP($A3,'TL0-5 Elements'!$A$2:$I$53,5,FALSE)</f>
        <v>2</v>
      </c>
      <c r="G3" s="43" t="str">
        <f>VLOOKUP($A3,'TL0-5 Elements'!$A$2:$I$53,6,FALSE)</f>
        <v>Mtd</v>
      </c>
      <c r="H3" s="45">
        <f>(((VLOOKUP($A3,'TL0-5 Elements'!$A$2:$I$53,7,FALSE))*L3)*(1+P3+T3+X3+AB3+AF3+AJ3))*M3</f>
        <v>1800000</v>
      </c>
      <c r="I3" s="45">
        <f>(((VLOOKUP($A3,'TL0-5 Elements'!$A$2:$I$53,8,FALSE))*L3)*(1+Q3+U3+Y3+AC3+AG3+AK3))*M3</f>
        <v>264000</v>
      </c>
      <c r="J3" s="43">
        <f>VLOOKUP(A3,'TL0-5 Elements'!$A$2:$I$53,9,FALSE)</f>
        <v>2</v>
      </c>
      <c r="K3" s="2">
        <f>IF(VLOOKUP($A3,'TL0-5 Elements'!$A$2:$I$53,9,FALSE)-$J3=0,1,IF(VLOOKUP($A3,'TL0-5 Elements'!$A$2:$I$53,9,FALSE)-$J3=-1,2,IF(VLOOKUP($A3,'TL0-5 Elements'!$A$2:$I$53,9,FALSE)-$J3=-2,4,IF(VLOOKUP($A3,'TL0-5 Elements'!$A$2:$I$53,9,FALSE)-$J3=-3,8,IF(VLOOKUP($A3,'TL0-5 Elements'!$A$2:$I$53,9,FALSE)-$J3=-4,16,"Invalid")))))</f>
        <v>1</v>
      </c>
      <c r="L3" s="10">
        <v>3</v>
      </c>
      <c r="M3" s="44">
        <v>1</v>
      </c>
      <c r="N3" s="10" t="s">
        <v>136</v>
      </c>
      <c r="O3" s="10">
        <f>VLOOKUP(N3,'Equipment &amp; Troop Q'!$A$3:$D$7,2,FALSE)</f>
        <v>1</v>
      </c>
      <c r="P3" s="10">
        <f>VLOOKUP($N3,'Equipment &amp; Troop Q'!$A$3:$D$7,3,FALSE)</f>
        <v>1</v>
      </c>
      <c r="Q3" s="10">
        <f>VLOOKUP($N3,'Equipment &amp; Troop Q'!$A$3:$D$7,4,FALSE)</f>
        <v>1</v>
      </c>
      <c r="R3" s="10" t="s">
        <v>137</v>
      </c>
      <c r="S3" s="2">
        <f>VLOOKUP($R3,'Equipment &amp; Troop Q'!$A$13:$D$16,2,FALSE)</f>
        <v>0.5</v>
      </c>
      <c r="T3" s="2">
        <f>IF(OR(V3="Fanatic",Z3="Fanatic",AD3="Fanatic",AH3="Fanatic"),VLOOKUP($R3,'Equipment &amp; Troop Q'!$A$18:$D$19,3,FALSE),VLOOKUP($R3,'Equipment &amp; Troop Q'!$A$13:$D$16,3,FALSE))</f>
        <v>1</v>
      </c>
      <c r="U3" s="2">
        <f>VLOOKUP($R3,'Equipment &amp; Troop Q'!$A$13:$D$16,4,FALSE)</f>
        <v>0.2</v>
      </c>
      <c r="V3" s="42" t="s">
        <v>175</v>
      </c>
      <c r="W3" s="42">
        <f>VLOOKUP($V3,'Equipment &amp; Troop Q'!$F$3:$I$30,2,FALSE)</f>
        <v>0</v>
      </c>
      <c r="X3" s="42">
        <f>VLOOKUP($V3,'Equipment &amp; Troop Q'!$F$3:$I$30,3,FALSE)</f>
        <v>0</v>
      </c>
      <c r="Y3" s="42">
        <f>VLOOKUP($V3,'Equipment &amp; Troop Q'!$F$3:$I$30,4,FALSE)</f>
        <v>0</v>
      </c>
      <c r="Z3" s="42" t="s">
        <v>101</v>
      </c>
      <c r="AA3" s="42">
        <f>VLOOKUP($Z3,'Equipment &amp; Troop Q'!$F$3:$I$30,2,FALSE)</f>
        <v>0</v>
      </c>
      <c r="AB3" s="42">
        <f>VLOOKUP($Z3,'Equipment &amp; Troop Q'!$F$3:$I$30,3,FALSE)</f>
        <v>0</v>
      </c>
      <c r="AC3" s="42">
        <f>VLOOKUP($Z3,'Equipment &amp; Troop Q'!$F$3:$I$30,4,FALSE)</f>
        <v>0</v>
      </c>
      <c r="AD3" s="42" t="s">
        <v>101</v>
      </c>
      <c r="AE3" s="42">
        <f>VLOOKUP($AD3,'Equipment &amp; Troop Q'!$F$3:$I$30,2,FALSE)</f>
        <v>0</v>
      </c>
      <c r="AF3" s="42">
        <f>VLOOKUP($AD3,'Equipment &amp; Troop Q'!$F$3:$I$30,3,FALSE)</f>
        <v>0</v>
      </c>
      <c r="AG3" s="42">
        <f>VLOOKUP($AD3,'Equipment &amp; Troop Q'!$F$3:$I$30,4,FALSE)</f>
        <v>0</v>
      </c>
      <c r="AH3" s="42" t="s">
        <v>101</v>
      </c>
      <c r="AI3" s="2">
        <f>VLOOKUP($AH3,'Equipment &amp; Troop Q'!$F$3:$I$30,2,FALSE)</f>
        <v>0</v>
      </c>
      <c r="AJ3" s="2">
        <f>VLOOKUP($AH3,'Equipment &amp; Troop Q'!$F$3:$I$30,3,FALSE)</f>
        <v>0</v>
      </c>
      <c r="AK3" s="2">
        <f>VLOOKUP($AH3,'Equipment &amp; Troop Q'!$F$3:$I$30,4,FALSE)</f>
        <v>0</v>
      </c>
    </row>
    <row r="4" spans="1:37" x14ac:dyDescent="0.2">
      <c r="A4" s="5" t="s">
        <v>217</v>
      </c>
      <c r="B4" s="43">
        <f>((((VLOOKUP($A4,'TL0-5 Elements'!$A$2:$I$53,2,FALSE))*K4)*L4)*(1+O4+S4+W4+AA4+AE4+AI4))*M4</f>
        <v>20</v>
      </c>
      <c r="C4" s="43">
        <f>VLOOKUP($A4,'TL0-5 Elements'!$A$2:$I$53,3,FALSE)</f>
        <v>0</v>
      </c>
      <c r="D4" s="43">
        <f>IF(AND(COUNTIF(E4:E4,"*C3I*"),C4=1),B4*-0.1,0)</f>
        <v>0</v>
      </c>
      <c r="E4" s="43" t="str">
        <f>VLOOKUP($A4,'TL0-5 Elements'!$A$2:$I$53,4,FALSE)</f>
        <v>-</v>
      </c>
      <c r="F4" s="43">
        <f>VLOOKUP($A4,'TL0-5 Elements'!$A$2:$I$53,5,FALSE)</f>
        <v>1</v>
      </c>
      <c r="G4" s="43" t="str">
        <f>VLOOKUP($A4,'TL0-5 Elements'!$A$2:$I$53,6,FALSE)</f>
        <v>Foot</v>
      </c>
      <c r="H4" s="45">
        <f>(((VLOOKUP($A4,'TL0-5 Elements'!$A$2:$I$53,7,FALSE))*L4)*(1+P4+T4+X4+AB4+AF4+AJ4))*M4</f>
        <v>200000</v>
      </c>
      <c r="I4" s="45">
        <f>(((VLOOKUP($A4,'TL0-5 Elements'!$A$2:$I$53,8,FALSE))*L4)*(1+Q4+U4+Y4+AC4+AG4+AK4))*M4</f>
        <v>40000</v>
      </c>
      <c r="J4" s="43">
        <f>VLOOKUP(A4,'TL0-5 Elements'!$A$2:$I$53,9,FALSE)</f>
        <v>2</v>
      </c>
      <c r="K4" s="2">
        <f>IF(VLOOKUP($A4,'TL0-5 Elements'!$A$2:$I$53,9,FALSE)-$J4=0,1,IF(VLOOKUP($A4,'TL0-5 Elements'!$A$2:$I$53,9,FALSE)-$J4=-1,2,IF(VLOOKUP($A4,'TL0-5 Elements'!$A$2:$I$53,9,FALSE)-$J4=-2,4,IF(VLOOKUP($A4,'TL0-5 Elements'!$A$2:$I$53,9,FALSE)-$J4=-3,8,IF(VLOOKUP($A4,'TL0-5 Elements'!$A$2:$I$53,9,FALSE)-$J4=-4,16,"Invalid")))))</f>
        <v>1</v>
      </c>
      <c r="L4" s="10">
        <v>5</v>
      </c>
      <c r="M4" s="44">
        <v>1</v>
      </c>
      <c r="N4" s="10" t="s">
        <v>138</v>
      </c>
      <c r="O4" s="10">
        <f>VLOOKUP(N4,'Equipment &amp; Troop Q'!$A$3:$D$7,2,FALSE)</f>
        <v>0</v>
      </c>
      <c r="P4" s="10">
        <f>VLOOKUP($N4,'Equipment &amp; Troop Q'!$A$3:$D$7,3,FALSE)</f>
        <v>0</v>
      </c>
      <c r="Q4" s="10">
        <f>VLOOKUP($N4,'Equipment &amp; Troop Q'!$A$3:$D$7,4,FALSE)</f>
        <v>0</v>
      </c>
      <c r="R4" s="10" t="s">
        <v>141</v>
      </c>
      <c r="S4" s="42">
        <f>VLOOKUP($R4,'Equipment &amp; Troop Q'!$A$13:$D$16,2,FALSE)</f>
        <v>0</v>
      </c>
      <c r="T4" s="42">
        <f>IF(OR(V4="Fanatic",Z4="Fanatic",AD4="Fanatic",AH4="Fanatic"),VLOOKUP($R4,'Equipment &amp; Troop Q'!$A$18:$D$19,3,FALSE),VLOOKUP($R4,'Equipment &amp; Troop Q'!$A$13:$D$16,3,FALSE))</f>
        <v>0</v>
      </c>
      <c r="U4" s="2">
        <f>VLOOKUP($R4,'Equipment &amp; Troop Q'!$A$13:$D$16,4,FALSE)</f>
        <v>0</v>
      </c>
      <c r="V4" s="2" t="s">
        <v>101</v>
      </c>
      <c r="W4" s="2">
        <f>VLOOKUP($V4,'Equipment &amp; Troop Q'!$F$3:$I$30,2,FALSE)</f>
        <v>0</v>
      </c>
      <c r="X4" s="2">
        <f>VLOOKUP($V4,'Equipment &amp; Troop Q'!$F$3:$I$30,3,FALSE)</f>
        <v>0</v>
      </c>
      <c r="Y4" s="2">
        <f>VLOOKUP($V4,'Equipment &amp; Troop Q'!$F$3:$I$30,4,FALSE)</f>
        <v>0</v>
      </c>
      <c r="Z4" s="2" t="s">
        <v>101</v>
      </c>
      <c r="AA4" s="2">
        <f>VLOOKUP($Z4,'Equipment &amp; Troop Q'!$F$3:$I$30,2,FALSE)</f>
        <v>0</v>
      </c>
      <c r="AB4" s="2">
        <f>VLOOKUP($Z4,'Equipment &amp; Troop Q'!$F$3:$I$30,3,FALSE)</f>
        <v>0</v>
      </c>
      <c r="AC4" s="2">
        <f>VLOOKUP($Z4,'Equipment &amp; Troop Q'!$F$3:$I$30,4,FALSE)</f>
        <v>0</v>
      </c>
      <c r="AD4" s="2" t="s">
        <v>101</v>
      </c>
      <c r="AE4" s="2">
        <f>VLOOKUP($AD4,'Equipment &amp; Troop Q'!$F$3:$I$30,2,FALSE)</f>
        <v>0</v>
      </c>
      <c r="AF4" s="2">
        <f>VLOOKUP($AD4,'Equipment &amp; Troop Q'!$F$3:$I$30,3,FALSE)</f>
        <v>0</v>
      </c>
      <c r="AG4" s="2">
        <f>VLOOKUP($AD4,'Equipment &amp; Troop Q'!$F$3:$I$30,4,FALSE)</f>
        <v>0</v>
      </c>
      <c r="AH4" s="2" t="s">
        <v>101</v>
      </c>
      <c r="AI4" s="2">
        <f>VLOOKUP($AH4,'Equipment &amp; Troop Q'!$F$3:$I$30,2,FALSE)</f>
        <v>0</v>
      </c>
      <c r="AJ4" s="2">
        <f>VLOOKUP($AH4,'Equipment &amp; Troop Q'!$F$3:$I$30,3,FALSE)</f>
        <v>0</v>
      </c>
      <c r="AK4" s="2">
        <f>VLOOKUP($AH4,'Equipment &amp; Troop Q'!$F$3:$I$30,4,FALSE)</f>
        <v>0</v>
      </c>
    </row>
    <row r="5" spans="1:37" x14ac:dyDescent="0.2">
      <c r="A5" s="5" t="s">
        <v>211</v>
      </c>
      <c r="B5" s="43">
        <f>((((VLOOKUP($A5,'TL0-5 Elements'!$A$2:$I$53,2,FALSE))*K5)*L5)*(1+O5+S5+W5+AA5+AE5+AI5))*M5</f>
        <v>4</v>
      </c>
      <c r="C5" s="43">
        <f>VLOOKUP($A5,'TL0-5 Elements'!$A$2:$I$53,3,FALSE)</f>
        <v>0</v>
      </c>
      <c r="D5" s="43">
        <f>IF(AND(COUNTIF(E5:E5,"*C3I*"),C5=1),B5*-0.1,0)</f>
        <v>0</v>
      </c>
      <c r="E5" s="43" t="str">
        <f>VLOOKUP($A5,'TL0-5 Elements'!$A$2:$I$53,4,FALSE)</f>
        <v>F</v>
      </c>
      <c r="F5" s="43">
        <f>VLOOKUP($A5,'TL0-5 Elements'!$A$2:$I$53,5,FALSE)</f>
        <v>1</v>
      </c>
      <c r="G5" s="43" t="str">
        <f>VLOOKUP($A5,'TL0-5 Elements'!$A$2:$I$53,6,FALSE)</f>
        <v>Foot</v>
      </c>
      <c r="H5" s="45">
        <f>(((VLOOKUP($A5,'TL0-5 Elements'!$A$2:$I$53,7,FALSE))*L5)*(1+P5+T5+X5+AB5+AF5+AJ5))*M5</f>
        <v>80000</v>
      </c>
      <c r="I5" s="45">
        <f>(((VLOOKUP($A5,'TL0-5 Elements'!$A$2:$I$53,8,FALSE))*L5)*(1+Q5+U5+Y5+AC5+AG5+AK5))*M5</f>
        <v>16000</v>
      </c>
      <c r="J5" s="43">
        <f>VLOOKUP(A5,'TL0-5 Elements'!$A$2:$I$53,9,FALSE)</f>
        <v>1</v>
      </c>
      <c r="K5" s="2">
        <f>IF(VLOOKUP($A5,'TL0-5 Elements'!$A$2:$I$53,9,FALSE)-$J5=0,1,IF(VLOOKUP($A5,'TL0-5 Elements'!$A$2:$I$53,9,FALSE)-$J5=-1,2,IF(VLOOKUP($A5,'TL0-5 Elements'!$A$2:$I$53,9,FALSE)-$J5=-2,4,IF(VLOOKUP($A5,'TL0-5 Elements'!$A$2:$I$53,9,FALSE)-$J5=-3,8,IF(VLOOKUP($A5,'TL0-5 Elements'!$A$2:$I$53,9,FALSE)-$J5=-4,16,"Invalid")))))</f>
        <v>1</v>
      </c>
      <c r="L5" s="10">
        <v>2</v>
      </c>
      <c r="M5" s="44">
        <v>1</v>
      </c>
      <c r="N5" s="10" t="s">
        <v>138</v>
      </c>
      <c r="O5" s="10">
        <f>VLOOKUP(N5,'Equipment &amp; Troop Q'!$A$3:$D$7,2,FALSE)</f>
        <v>0</v>
      </c>
      <c r="P5" s="10">
        <f>VLOOKUP($N5,'Equipment &amp; Troop Q'!$A$3:$D$7,3,FALSE)</f>
        <v>0</v>
      </c>
      <c r="Q5" s="10">
        <f>VLOOKUP($N5,'Equipment &amp; Troop Q'!$A$3:$D$7,4,FALSE)</f>
        <v>0</v>
      </c>
      <c r="R5" s="10" t="s">
        <v>141</v>
      </c>
      <c r="S5" s="42">
        <f>VLOOKUP($R5,'Equipment &amp; Troop Q'!$A$13:$D$16,2,FALSE)</f>
        <v>0</v>
      </c>
      <c r="T5" s="42">
        <f>IF(OR(V5="Fanatic",Z5="Fanatic",AD5="Fanatic",AH5="Fanatic"),VLOOKUP($R5,'Equipment &amp; Troop Q'!$A$18:$D$19,3,FALSE),VLOOKUP($R5,'Equipment &amp; Troop Q'!$A$13:$D$16,3,FALSE))</f>
        <v>0</v>
      </c>
      <c r="U5" s="2">
        <f>VLOOKUP($R5,'Equipment &amp; Troop Q'!$A$13:$D$16,4,FALSE)</f>
        <v>0</v>
      </c>
      <c r="V5" s="2" t="s">
        <v>101</v>
      </c>
      <c r="W5" s="2">
        <f>VLOOKUP($V5,'Equipment &amp; Troop Q'!$F$3:$I$30,2,FALSE)</f>
        <v>0</v>
      </c>
      <c r="X5" s="2">
        <f>VLOOKUP($V5,'Equipment &amp; Troop Q'!$F$3:$I$30,3,FALSE)</f>
        <v>0</v>
      </c>
      <c r="Y5" s="2">
        <f>VLOOKUP($V5,'Equipment &amp; Troop Q'!$F$3:$I$30,4,FALSE)</f>
        <v>0</v>
      </c>
      <c r="Z5" s="2" t="s">
        <v>101</v>
      </c>
      <c r="AA5" s="2">
        <f>VLOOKUP($Z5,'Equipment &amp; Troop Q'!$F$3:$I$30,2,FALSE)</f>
        <v>0</v>
      </c>
      <c r="AB5" s="2">
        <f>VLOOKUP($Z5,'Equipment &amp; Troop Q'!$F$3:$I$30,3,FALSE)</f>
        <v>0</v>
      </c>
      <c r="AC5" s="2">
        <f>VLOOKUP($Z5,'Equipment &amp; Troop Q'!$F$3:$I$30,4,FALSE)</f>
        <v>0</v>
      </c>
      <c r="AD5" s="2" t="s">
        <v>101</v>
      </c>
      <c r="AE5" s="2">
        <f>VLOOKUP($AD5,'Equipment &amp; Troop Q'!$F$3:$I$30,2,FALSE)</f>
        <v>0</v>
      </c>
      <c r="AF5" s="2">
        <f>VLOOKUP($AD5,'Equipment &amp; Troop Q'!$F$3:$I$30,3,FALSE)</f>
        <v>0</v>
      </c>
      <c r="AG5" s="2">
        <f>VLOOKUP($AD5,'Equipment &amp; Troop Q'!$F$3:$I$30,4,FALSE)</f>
        <v>0</v>
      </c>
      <c r="AH5" s="2" t="s">
        <v>101</v>
      </c>
      <c r="AI5" s="2">
        <f>VLOOKUP($AH5,'Equipment &amp; Troop Q'!$F$3:$I$30,2,FALSE)</f>
        <v>0</v>
      </c>
      <c r="AJ5" s="2">
        <f>VLOOKUP($AH5,'Equipment &amp; Troop Q'!$F$3:$I$30,3,FALSE)</f>
        <v>0</v>
      </c>
      <c r="AK5" s="2">
        <f>VLOOKUP($AH5,'Equipment &amp; Troop Q'!$F$3:$I$30,4,FALSE)</f>
        <v>0</v>
      </c>
    </row>
    <row r="6" spans="1:37" x14ac:dyDescent="0.2">
      <c r="A6" s="5" t="s">
        <v>227</v>
      </c>
      <c r="B6" s="43">
        <f>((((VLOOKUP($A6,'TL0-5 Elements'!$A$2:$I$53,2,FALSE))*K6)*L6)*(1+O6+S6+W6+AA6+AE6+AI6))*M6</f>
        <v>2</v>
      </c>
      <c r="C6" s="43">
        <f>VLOOKUP($A6,'TL0-5 Elements'!$A$2:$I$53,3,FALSE)</f>
        <v>0</v>
      </c>
      <c r="D6" s="43">
        <f>IF(AND(COUNTIF(E6:E6,"*C3I*"),C6=1),B6*-0.1,0)</f>
        <v>0</v>
      </c>
      <c r="E6" s="43" t="str">
        <f>VLOOKUP($A6,'TL0-5 Elements'!$A$2:$I$53,4,FALSE)</f>
        <v>Eng</v>
      </c>
      <c r="F6" s="43">
        <f>VLOOKUP($A6,'TL0-5 Elements'!$A$2:$I$53,5,FALSE)</f>
        <v>1</v>
      </c>
      <c r="G6" s="43" t="str">
        <f>VLOOKUP($A6,'TL0-5 Elements'!$A$2:$I$53,6,FALSE)</f>
        <v>Foot</v>
      </c>
      <c r="H6" s="45">
        <f>(((VLOOKUP($A6,'TL0-5 Elements'!$A$2:$I$53,7,FALSE))*L6)*(1+P6+T6+X6+AB6+AF6+AJ6))*M6</f>
        <v>60000</v>
      </c>
      <c r="I6" s="45">
        <f>(((VLOOKUP($A6,'TL0-5 Elements'!$A$2:$I$53,8,FALSE))*L6)*(1+Q6+U6+Y6+AC6+AG6+AK6))*M6</f>
        <v>12000</v>
      </c>
      <c r="J6" s="43">
        <v>3</v>
      </c>
      <c r="K6" s="2">
        <f>IF(VLOOKUP($A6,'TL0-5 Elements'!$A$2:$I$53,9,FALSE)-$J6=0,1,IF(VLOOKUP($A6,'TL0-5 Elements'!$A$2:$I$53,9,FALSE)-$J6=-1,2,IF(VLOOKUP($A6,'TL0-5 Elements'!$A$2:$I$53,9,FALSE)-$J6=-2,4,IF(VLOOKUP($A6,'TL0-5 Elements'!$A$2:$I$53,9,FALSE)-$J6=-3,8,IF(VLOOKUP($A6,'TL0-5 Elements'!$A$2:$I$53,9,FALSE)-$J6=-4,16,"Invalid")))))</f>
        <v>2</v>
      </c>
      <c r="L6" s="10">
        <v>1</v>
      </c>
      <c r="M6" s="44">
        <v>1</v>
      </c>
      <c r="N6" s="10" t="s">
        <v>136</v>
      </c>
      <c r="O6" s="10">
        <f>VLOOKUP(N6,'Equipment &amp; Troop Q'!$A$3:$D$7,2,FALSE)</f>
        <v>1</v>
      </c>
      <c r="P6" s="10">
        <f>VLOOKUP($N6,'Equipment &amp; Troop Q'!$A$3:$D$7,3,FALSE)</f>
        <v>1</v>
      </c>
      <c r="Q6" s="10">
        <f>VLOOKUP($N6,'Equipment &amp; Troop Q'!$A$3:$D$7,4,FALSE)</f>
        <v>1</v>
      </c>
      <c r="R6" s="10" t="s">
        <v>141</v>
      </c>
      <c r="S6" s="42">
        <f>VLOOKUP($R6,'Equipment &amp; Troop Q'!$A$13:$D$16,2,FALSE)</f>
        <v>0</v>
      </c>
      <c r="T6" s="42">
        <f>IF(OR(V6="Fanatic",Z6="Fanatic",AD6="Fanatic",AH6="Fanatic"),VLOOKUP($R6,'Equipment &amp; Troop Q'!$A$18:$D$19,3,FALSE),VLOOKUP($R6,'Equipment &amp; Troop Q'!$A$13:$D$16,3,FALSE))</f>
        <v>0</v>
      </c>
      <c r="U6" s="2">
        <f>VLOOKUP($R6,'Equipment &amp; Troop Q'!$A$13:$D$16,4,FALSE)</f>
        <v>0</v>
      </c>
      <c r="V6" s="2" t="s">
        <v>101</v>
      </c>
      <c r="W6" s="2">
        <f>VLOOKUP($V6,'Equipment &amp; Troop Q'!$F$3:$I$30,2,FALSE)</f>
        <v>0</v>
      </c>
      <c r="X6" s="2">
        <f>VLOOKUP($V6,'Equipment &amp; Troop Q'!$F$3:$I$30,3,FALSE)</f>
        <v>0</v>
      </c>
      <c r="Y6" s="2">
        <f>VLOOKUP($V6,'Equipment &amp; Troop Q'!$F$3:$I$30,4,FALSE)</f>
        <v>0</v>
      </c>
      <c r="Z6" s="2" t="s">
        <v>101</v>
      </c>
      <c r="AA6" s="2">
        <f>VLOOKUP($Z6,'Equipment &amp; Troop Q'!$F$3:$I$30,2,FALSE)</f>
        <v>0</v>
      </c>
      <c r="AB6" s="2">
        <f>VLOOKUP($Z6,'Equipment &amp; Troop Q'!$F$3:$I$30,3,FALSE)</f>
        <v>0</v>
      </c>
      <c r="AC6" s="2">
        <f>VLOOKUP($Z6,'Equipment &amp; Troop Q'!$F$3:$I$30,4,FALSE)</f>
        <v>0</v>
      </c>
      <c r="AD6" s="2" t="s">
        <v>101</v>
      </c>
      <c r="AE6" s="2">
        <f>VLOOKUP($AD6,'Equipment &amp; Troop Q'!$F$3:$I$30,2,FALSE)</f>
        <v>0</v>
      </c>
      <c r="AF6" s="2">
        <f>VLOOKUP($AD6,'Equipment &amp; Troop Q'!$F$3:$I$30,3,FALSE)</f>
        <v>0</v>
      </c>
      <c r="AG6" s="2">
        <f>VLOOKUP($AD6,'Equipment &amp; Troop Q'!$F$3:$I$30,4,FALSE)</f>
        <v>0</v>
      </c>
      <c r="AH6" s="2" t="s">
        <v>101</v>
      </c>
      <c r="AI6" s="2">
        <f>VLOOKUP($AH6,'Equipment &amp; Troop Q'!$F$3:$I$30,2,FALSE)</f>
        <v>0</v>
      </c>
      <c r="AJ6" s="2">
        <f>VLOOKUP($AH6,'Equipment &amp; Troop Q'!$F$3:$I$30,3,FALSE)</f>
        <v>0</v>
      </c>
      <c r="AK6" s="2">
        <f>VLOOKUP($AH6,'Equipment &amp; Troop Q'!$F$3:$I$30,4,FALSE)</f>
        <v>0</v>
      </c>
    </row>
    <row r="7" spans="1:37" x14ac:dyDescent="0.2">
      <c r="A7" s="5" t="s">
        <v>217</v>
      </c>
      <c r="B7" s="43">
        <f>((((VLOOKUP($A7,'TL0-5 Elements'!$A$2:$I$53,2,FALSE))*K7)*L7)*(1+O7+S7+W7+AA7+AE7+AI7))*M7</f>
        <v>12</v>
      </c>
      <c r="C7" s="43">
        <f>VLOOKUP($A7,'TL0-5 Elements'!$A$2:$I$53,3,FALSE)</f>
        <v>0</v>
      </c>
      <c r="D7" s="43">
        <f t="shared" ref="D7:D31" si="0">IF(AND(COUNTIF(E7:E7,"*C3I*"),C7=1),B7*-0.1,0)</f>
        <v>0</v>
      </c>
      <c r="E7" s="43" t="str">
        <f>VLOOKUP($A7,'TL0-5 Elements'!$A$2:$I$53,4,FALSE)</f>
        <v>-</v>
      </c>
      <c r="F7" s="43">
        <f>VLOOKUP($A7,'TL0-5 Elements'!$A$2:$I$53,5,FALSE)</f>
        <v>1</v>
      </c>
      <c r="G7" s="43" t="str">
        <f>VLOOKUP($A7,'TL0-5 Elements'!$A$2:$I$53,6,FALSE)</f>
        <v>Foot</v>
      </c>
      <c r="H7" s="45">
        <f>(((VLOOKUP($A7,'TL0-5 Elements'!$A$2:$I$53,7,FALSE))*L7)*(1+P7+T7+X7+AB7+AF7+AJ7))*M7</f>
        <v>160000</v>
      </c>
      <c r="I7" s="45">
        <f>(((VLOOKUP($A7,'TL0-5 Elements'!$A$2:$I$53,8,FALSE))*L7)*(1+Q7+U7+Y7+AC7+AG7+AK7))*M7</f>
        <v>19200</v>
      </c>
      <c r="J7" s="43">
        <f>VLOOKUP(A7,'TL0-5 Elements'!$A$2:$I$53,9,FALSE)</f>
        <v>2</v>
      </c>
      <c r="K7" s="2">
        <f>IF(VLOOKUP($A7,'TL0-5 Elements'!$A$2:$I$53,9,FALSE)-$J7=0,1,IF(VLOOKUP($A7,'TL0-5 Elements'!$A$2:$I$53,9,FALSE)-$J7=-1,2,IF(VLOOKUP($A7,'TL0-5 Elements'!$A$2:$I$53,9,FALSE)-$J7=-2,4,IF(VLOOKUP($A7,'TL0-5 Elements'!$A$2:$I$53,9,FALSE)-$J7=-3,8,IF(VLOOKUP($A7,'TL0-5 Elements'!$A$2:$I$53,9,FALSE)-$J7=-4,16,"Invalid")))))</f>
        <v>1</v>
      </c>
      <c r="L7" s="10">
        <v>1</v>
      </c>
      <c r="M7" s="44">
        <v>1</v>
      </c>
      <c r="N7" s="10" t="s">
        <v>136</v>
      </c>
      <c r="O7" s="10">
        <f>VLOOKUP(N7,'Equipment &amp; Troop Q'!$A$3:$D$7,2,FALSE)</f>
        <v>1</v>
      </c>
      <c r="P7" s="10">
        <f>VLOOKUP($N7,'Equipment &amp; Troop Q'!$A$3:$D$7,3,FALSE)</f>
        <v>1</v>
      </c>
      <c r="Q7" s="10">
        <f>VLOOKUP($N7,'Equipment &amp; Troop Q'!$A$3:$D$7,4,FALSE)</f>
        <v>1</v>
      </c>
      <c r="R7" s="10" t="s">
        <v>140</v>
      </c>
      <c r="S7" s="42">
        <f>VLOOKUP($R7,'Equipment &amp; Troop Q'!$A$13:$D$16,2,FALSE)</f>
        <v>1</v>
      </c>
      <c r="T7" s="42">
        <f>IF(OR(V7="Fanatic",Z7="Fanatic",AD7="Fanatic",AH7="Fanatic"),VLOOKUP($R7,'Equipment &amp; Troop Q'!$A$18:$D$19,3,FALSE),VLOOKUP($R7,'Equipment &amp; Troop Q'!$A$13:$D$16,3,FALSE))</f>
        <v>2</v>
      </c>
      <c r="U7" s="2">
        <f>VLOOKUP($R7,'Equipment &amp; Troop Q'!$A$13:$D$16,4,FALSE)</f>
        <v>0.4</v>
      </c>
      <c r="V7" s="2" t="s">
        <v>173</v>
      </c>
      <c r="W7" s="2">
        <f>VLOOKUP($V7,'Equipment &amp; Troop Q'!$F$3:$I$30,2,FALSE)</f>
        <v>0</v>
      </c>
      <c r="X7" s="2">
        <f>VLOOKUP($V7,'Equipment &amp; Troop Q'!$F$3:$I$30,3,FALSE)</f>
        <v>0</v>
      </c>
      <c r="Y7" s="2">
        <f>VLOOKUP($V7,'Equipment &amp; Troop Q'!$F$3:$I$30,4,FALSE)</f>
        <v>0</v>
      </c>
      <c r="Z7" s="2" t="s">
        <v>101</v>
      </c>
      <c r="AA7" s="2">
        <f>VLOOKUP($Z7,'Equipment &amp; Troop Q'!$F$3:$I$30,2,FALSE)</f>
        <v>0</v>
      </c>
      <c r="AB7" s="2">
        <f>VLOOKUP($Z7,'Equipment &amp; Troop Q'!$F$3:$I$30,3,FALSE)</f>
        <v>0</v>
      </c>
      <c r="AC7" s="2">
        <f>VLOOKUP($Z7,'Equipment &amp; Troop Q'!$F$3:$I$30,4,FALSE)</f>
        <v>0</v>
      </c>
      <c r="AD7" s="2" t="s">
        <v>101</v>
      </c>
      <c r="AE7" s="2">
        <f>VLOOKUP($AD7,'Equipment &amp; Troop Q'!$F$3:$I$30,2,FALSE)</f>
        <v>0</v>
      </c>
      <c r="AF7" s="2">
        <f>VLOOKUP($AD7,'Equipment &amp; Troop Q'!$F$3:$I$30,3,FALSE)</f>
        <v>0</v>
      </c>
      <c r="AG7" s="2">
        <f>VLOOKUP($AD7,'Equipment &amp; Troop Q'!$F$3:$I$30,4,FALSE)</f>
        <v>0</v>
      </c>
      <c r="AH7" s="2" t="s">
        <v>101</v>
      </c>
      <c r="AI7" s="2">
        <f>VLOOKUP($AH7,'Equipment &amp; Troop Q'!$F$3:$I$30,2,FALSE)</f>
        <v>0</v>
      </c>
      <c r="AJ7" s="2">
        <f>VLOOKUP($AH7,'Equipment &amp; Troop Q'!$F$3:$I$30,3,FALSE)</f>
        <v>0</v>
      </c>
      <c r="AK7" s="2">
        <f>VLOOKUP($AH7,'Equipment &amp; Troop Q'!$F$3:$I$30,4,FALSE)</f>
        <v>0</v>
      </c>
    </row>
    <row r="8" spans="1:37" x14ac:dyDescent="0.2">
      <c r="A8" s="5" t="s">
        <v>101</v>
      </c>
      <c r="B8" s="43">
        <f>((((VLOOKUP($A8,'TL0-5 Elements'!$A$2:$I$53,2,FALSE))*K8)*L8)*(1+O8+S8+W8+AA8+AE8+AI8))*M8</f>
        <v>0</v>
      </c>
      <c r="C8" s="43" t="str">
        <f>VLOOKUP($A8,'TL0-5 Elements'!$A$2:$I$53,3,FALSE)</f>
        <v>-</v>
      </c>
      <c r="D8" s="43">
        <f t="shared" si="0"/>
        <v>0</v>
      </c>
      <c r="E8" s="43" t="str">
        <f>VLOOKUP($A8,'TL0-5 Elements'!$A$2:$I$53,4,FALSE)</f>
        <v>-</v>
      </c>
      <c r="F8" s="43" t="str">
        <f>VLOOKUP($A8,'TL0-5 Elements'!$A$2:$I$53,5,FALSE)</f>
        <v>-</v>
      </c>
      <c r="G8" s="43" t="str">
        <f>VLOOKUP($A8,'TL0-5 Elements'!$A$2:$I$53,6,FALSE)</f>
        <v>-</v>
      </c>
      <c r="H8" s="45">
        <f>(((VLOOKUP($A8,'TL0-5 Elements'!$A$2:$I$53,7,FALSE))*L8)*(1+P8+T8+X8+AB8+AF8+AJ8))*M8</f>
        <v>0</v>
      </c>
      <c r="I8" s="45">
        <f>(((VLOOKUP($A8,'TL0-5 Elements'!$A$2:$I$53,8,FALSE))*L8)*(1+Q8+U8+Y8+AC8+AG8+AK8))*M8</f>
        <v>0</v>
      </c>
      <c r="J8" s="43">
        <f>VLOOKUP(A8,'TL0-5 Elements'!$A$2:$I$53,9,FALSE)</f>
        <v>0</v>
      </c>
      <c r="K8" s="2">
        <f>IF(VLOOKUP($A8,'TL0-5 Elements'!$A$2:$I$53,9,FALSE)-$J8=0,1,IF(VLOOKUP($A8,'TL0-5 Elements'!$A$2:$I$53,9,FALSE)-$J8=-1,2,IF(VLOOKUP($A8,'TL0-5 Elements'!$A$2:$I$53,9,FALSE)-$J8=-2,4,IF(VLOOKUP($A8,'TL0-5 Elements'!$A$2:$I$53,9,FALSE)-$J8=-3,8,IF(VLOOKUP($A8,'TL0-5 Elements'!$A$2:$I$53,9,FALSE)-$J8=-4,16,"Invalid")))))</f>
        <v>1</v>
      </c>
      <c r="L8" s="10">
        <v>1</v>
      </c>
      <c r="M8" s="44">
        <v>1</v>
      </c>
      <c r="N8" s="10" t="s">
        <v>138</v>
      </c>
      <c r="O8" s="10">
        <f>VLOOKUP(N8,'Equipment &amp; Troop Q'!$A$3:$D$7,2,FALSE)</f>
        <v>0</v>
      </c>
      <c r="P8" s="10">
        <f>VLOOKUP($N8,'Equipment &amp; Troop Q'!$A$3:$D$7,3,FALSE)</f>
        <v>0</v>
      </c>
      <c r="Q8" s="10">
        <f>VLOOKUP($N8,'Equipment &amp; Troop Q'!$A$3:$D$7,4,FALSE)</f>
        <v>0</v>
      </c>
      <c r="R8" s="10" t="s">
        <v>141</v>
      </c>
      <c r="S8" s="42">
        <f>VLOOKUP($R8,'Equipment &amp; Troop Q'!$A$13:$D$16,2,FALSE)</f>
        <v>0</v>
      </c>
      <c r="T8" s="42">
        <f>IF(OR(V8="Fanatic",Z8="Fanatic",AD8="Fanatic",AH8="Fanatic"),VLOOKUP($R8,'Equipment &amp; Troop Q'!$A$18:$D$19,3,FALSE),VLOOKUP($R8,'Equipment &amp; Troop Q'!$A$13:$D$16,3,FALSE))</f>
        <v>0</v>
      </c>
      <c r="U8" s="2">
        <f>VLOOKUP($R8,'Equipment &amp; Troop Q'!$A$13:$D$16,4,FALSE)</f>
        <v>0</v>
      </c>
      <c r="V8" s="2" t="s">
        <v>101</v>
      </c>
      <c r="W8" s="2">
        <f>VLOOKUP($V8,'Equipment &amp; Troop Q'!$F$3:$I$30,2,FALSE)</f>
        <v>0</v>
      </c>
      <c r="X8" s="2">
        <f>VLOOKUP($V8,'Equipment &amp; Troop Q'!$F$3:$I$30,3,FALSE)</f>
        <v>0</v>
      </c>
      <c r="Y8" s="2">
        <f>VLOOKUP($V8,'Equipment &amp; Troop Q'!$F$3:$I$30,4,FALSE)</f>
        <v>0</v>
      </c>
      <c r="Z8" s="2" t="s">
        <v>101</v>
      </c>
      <c r="AA8" s="2">
        <f>VLOOKUP($Z8,'Equipment &amp; Troop Q'!$F$3:$I$30,2,FALSE)</f>
        <v>0</v>
      </c>
      <c r="AB8" s="2">
        <f>VLOOKUP($Z8,'Equipment &amp; Troop Q'!$F$3:$I$30,3,FALSE)</f>
        <v>0</v>
      </c>
      <c r="AC8" s="2">
        <f>VLOOKUP($Z8,'Equipment &amp; Troop Q'!$F$3:$I$30,4,FALSE)</f>
        <v>0</v>
      </c>
      <c r="AD8" s="2" t="s">
        <v>101</v>
      </c>
      <c r="AE8" s="2">
        <f>VLOOKUP($AD8,'Equipment &amp; Troop Q'!$F$3:$I$30,2,FALSE)</f>
        <v>0</v>
      </c>
      <c r="AF8" s="2">
        <f>VLOOKUP($AD8,'Equipment &amp; Troop Q'!$F$3:$I$30,3,FALSE)</f>
        <v>0</v>
      </c>
      <c r="AG8" s="2">
        <f>VLOOKUP($AD8,'Equipment &amp; Troop Q'!$F$3:$I$30,4,FALSE)</f>
        <v>0</v>
      </c>
      <c r="AH8" s="2" t="s">
        <v>101</v>
      </c>
      <c r="AI8" s="2">
        <f>VLOOKUP($AH8,'Equipment &amp; Troop Q'!$F$3:$I$30,2,FALSE)</f>
        <v>0</v>
      </c>
      <c r="AJ8" s="2">
        <f>VLOOKUP($AH8,'Equipment &amp; Troop Q'!$F$3:$I$30,3,FALSE)</f>
        <v>0</v>
      </c>
      <c r="AK8" s="2">
        <f>VLOOKUP($AH8,'Equipment &amp; Troop Q'!$F$3:$I$30,4,FALSE)</f>
        <v>0</v>
      </c>
    </row>
    <row r="9" spans="1:37" x14ac:dyDescent="0.2">
      <c r="A9" s="5" t="s">
        <v>101</v>
      </c>
      <c r="B9" s="43">
        <f>((((VLOOKUP($A9,'TL0-5 Elements'!$A$2:$I$53,2,FALSE))*K9)*L9)*(1+O9+S9+W9+AA9+AE9+AI9))*M9</f>
        <v>0</v>
      </c>
      <c r="C9" s="43" t="str">
        <f>VLOOKUP($A9,'TL0-5 Elements'!$A$2:$I$53,3,FALSE)</f>
        <v>-</v>
      </c>
      <c r="D9" s="43">
        <f t="shared" si="0"/>
        <v>0</v>
      </c>
      <c r="E9" s="43" t="str">
        <f>VLOOKUP($A9,'TL0-5 Elements'!$A$2:$I$53,4,FALSE)</f>
        <v>-</v>
      </c>
      <c r="F9" s="43" t="str">
        <f>VLOOKUP($A9,'TL0-5 Elements'!$A$2:$I$53,5,FALSE)</f>
        <v>-</v>
      </c>
      <c r="G9" s="43" t="str">
        <f>VLOOKUP($A9,'TL0-5 Elements'!$A$2:$I$53,6,FALSE)</f>
        <v>-</v>
      </c>
      <c r="H9" s="45">
        <f>(((VLOOKUP($A9,'TL0-5 Elements'!$A$2:$I$53,7,FALSE))*L9)*(1+P9+T9+X9+AB9+AF9+AJ9))*M9</f>
        <v>0</v>
      </c>
      <c r="I9" s="45">
        <f>(((VLOOKUP($A9,'TL0-5 Elements'!$A$2:$I$53,8,FALSE))*L9)*(1+Q9+U9+Y9+AC9+AG9+AK9))*M9</f>
        <v>0</v>
      </c>
      <c r="J9" s="43">
        <f>VLOOKUP(A9,'TL0-5 Elements'!$A$2:$I$53,9,FALSE)</f>
        <v>0</v>
      </c>
      <c r="K9" s="2">
        <f>IF(VLOOKUP($A9,'TL0-5 Elements'!$A$2:$I$53,9,FALSE)-$J9=0,1,IF(VLOOKUP($A9,'TL0-5 Elements'!$A$2:$I$53,9,FALSE)-$J9=-1,2,IF(VLOOKUP($A9,'TL0-5 Elements'!$A$2:$I$53,9,FALSE)-$J9=-2,4,IF(VLOOKUP($A9,'TL0-5 Elements'!$A$2:$I$53,9,FALSE)-$J9=-3,8,IF(VLOOKUP($A9,'TL0-5 Elements'!$A$2:$I$53,9,FALSE)-$J9=-4,16,"Invalid")))))</f>
        <v>1</v>
      </c>
      <c r="L9" s="10">
        <v>1</v>
      </c>
      <c r="M9" s="44">
        <v>1</v>
      </c>
      <c r="N9" s="10" t="s">
        <v>138</v>
      </c>
      <c r="O9" s="10">
        <f>VLOOKUP(N9,'Equipment &amp; Troop Q'!$A$3:$D$7,2,FALSE)</f>
        <v>0</v>
      </c>
      <c r="P9" s="10">
        <f>VLOOKUP($N9,'Equipment &amp; Troop Q'!$A$3:$D$7,3,FALSE)</f>
        <v>0</v>
      </c>
      <c r="Q9" s="10">
        <f>VLOOKUP($N9,'Equipment &amp; Troop Q'!$A$3:$D$7,4,FALSE)</f>
        <v>0</v>
      </c>
      <c r="R9" s="10" t="s">
        <v>141</v>
      </c>
      <c r="S9" s="42">
        <f>VLOOKUP($R9,'Equipment &amp; Troop Q'!$A$13:$D$16,2,FALSE)</f>
        <v>0</v>
      </c>
      <c r="T9" s="42">
        <f>IF(OR(V9="Fanatic",Z9="Fanatic",AD9="Fanatic",AH9="Fanatic"),VLOOKUP($R9,'Equipment &amp; Troop Q'!$A$18:$D$19,3,FALSE),VLOOKUP($R9,'Equipment &amp; Troop Q'!$A$13:$D$16,3,FALSE))</f>
        <v>0</v>
      </c>
      <c r="U9" s="2">
        <f>VLOOKUP($R9,'Equipment &amp; Troop Q'!$A$13:$D$16,4,FALSE)</f>
        <v>0</v>
      </c>
      <c r="V9" s="2" t="s">
        <v>101</v>
      </c>
      <c r="W9" s="2">
        <f>VLOOKUP($V9,'Equipment &amp; Troop Q'!$F$3:$I$30,2,FALSE)</f>
        <v>0</v>
      </c>
      <c r="X9" s="2">
        <f>VLOOKUP($V9,'Equipment &amp; Troop Q'!$F$3:$I$30,3,FALSE)</f>
        <v>0</v>
      </c>
      <c r="Y9" s="2">
        <f>VLOOKUP($V9,'Equipment &amp; Troop Q'!$F$3:$I$30,4,FALSE)</f>
        <v>0</v>
      </c>
      <c r="Z9" s="2" t="s">
        <v>101</v>
      </c>
      <c r="AA9" s="2">
        <f>VLOOKUP($Z9,'Equipment &amp; Troop Q'!$F$3:$I$30,2,FALSE)</f>
        <v>0</v>
      </c>
      <c r="AB9" s="2">
        <f>VLOOKUP($Z9,'Equipment &amp; Troop Q'!$F$3:$I$30,3,FALSE)</f>
        <v>0</v>
      </c>
      <c r="AC9" s="2">
        <f>VLOOKUP($Z9,'Equipment &amp; Troop Q'!$F$3:$I$30,4,FALSE)</f>
        <v>0</v>
      </c>
      <c r="AD9" s="2" t="s">
        <v>101</v>
      </c>
      <c r="AE9" s="2">
        <f>VLOOKUP($AD9,'Equipment &amp; Troop Q'!$F$3:$I$30,2,FALSE)</f>
        <v>0</v>
      </c>
      <c r="AF9" s="2">
        <f>VLOOKUP($AD9,'Equipment &amp; Troop Q'!$F$3:$I$30,3,FALSE)</f>
        <v>0</v>
      </c>
      <c r="AG9" s="2">
        <f>VLOOKUP($AD9,'Equipment &amp; Troop Q'!$F$3:$I$30,4,FALSE)</f>
        <v>0</v>
      </c>
      <c r="AH9" s="2" t="s">
        <v>101</v>
      </c>
      <c r="AI9" s="2">
        <f>VLOOKUP($AH9,'Equipment &amp; Troop Q'!$F$3:$I$30,2,FALSE)</f>
        <v>0</v>
      </c>
      <c r="AJ9" s="2">
        <f>VLOOKUP($AH9,'Equipment &amp; Troop Q'!$F$3:$I$30,3,FALSE)</f>
        <v>0</v>
      </c>
      <c r="AK9" s="2">
        <f>VLOOKUP($AH9,'Equipment &amp; Troop Q'!$F$3:$I$30,4,FALSE)</f>
        <v>0</v>
      </c>
    </row>
    <row r="10" spans="1:37" x14ac:dyDescent="0.2">
      <c r="A10" s="5" t="s">
        <v>101</v>
      </c>
      <c r="B10" s="43">
        <f>((((VLOOKUP($A10,'TL0-5 Elements'!$A$2:$I$53,2,FALSE))*K10)*L10)*(1+O10+S10+W10+AA10+AE10+AI10))*M10</f>
        <v>0</v>
      </c>
      <c r="C10" s="43" t="str">
        <f>VLOOKUP($A10,'TL0-5 Elements'!$A$2:$I$53,3,FALSE)</f>
        <v>-</v>
      </c>
      <c r="D10" s="43">
        <f t="shared" si="0"/>
        <v>0</v>
      </c>
      <c r="E10" s="43" t="str">
        <f>VLOOKUP($A10,'TL0-5 Elements'!$A$2:$I$53,4,FALSE)</f>
        <v>-</v>
      </c>
      <c r="F10" s="43" t="str">
        <f>VLOOKUP($A10,'TL0-5 Elements'!$A$2:$I$53,5,FALSE)</f>
        <v>-</v>
      </c>
      <c r="G10" s="43" t="str">
        <f>VLOOKUP($A10,'TL0-5 Elements'!$A$2:$I$53,6,FALSE)</f>
        <v>-</v>
      </c>
      <c r="H10" s="45">
        <f>(((VLOOKUP($A10,'TL0-5 Elements'!$A$2:$I$53,7,FALSE))*L10)*(1+P10+T10+X10+AB10+AF10+AJ10))*M10</f>
        <v>0</v>
      </c>
      <c r="I10" s="45">
        <f>(((VLOOKUP($A10,'TL0-5 Elements'!$A$2:$I$53,8,FALSE))*L10)*(1+Q10+U10+Y10+AC10+AG10+AK10))*M10</f>
        <v>0</v>
      </c>
      <c r="J10" s="43">
        <f>VLOOKUP(A10,'TL0-5 Elements'!$A$2:$I$53,9,FALSE)</f>
        <v>0</v>
      </c>
      <c r="K10" s="2">
        <f>IF(VLOOKUP($A10,'TL0-5 Elements'!$A$2:$I$53,9,FALSE)-$J10=0,1,IF(VLOOKUP($A10,'TL0-5 Elements'!$A$2:$I$53,9,FALSE)-$J10=-1,2,IF(VLOOKUP($A10,'TL0-5 Elements'!$A$2:$I$53,9,FALSE)-$J10=-2,4,IF(VLOOKUP($A10,'TL0-5 Elements'!$A$2:$I$53,9,FALSE)-$J10=-3,8,IF(VLOOKUP($A10,'TL0-5 Elements'!$A$2:$I$53,9,FALSE)-$J10=-4,16,"Invalid")))))</f>
        <v>1</v>
      </c>
      <c r="L10" s="10">
        <v>1</v>
      </c>
      <c r="M10" s="44">
        <v>1</v>
      </c>
      <c r="N10" s="10" t="s">
        <v>138</v>
      </c>
      <c r="O10" s="10">
        <f>VLOOKUP(N10,'Equipment &amp; Troop Q'!$A$3:$D$7,2,FALSE)</f>
        <v>0</v>
      </c>
      <c r="P10" s="10">
        <f>VLOOKUP($N10,'Equipment &amp; Troop Q'!$A$3:$D$7,3,FALSE)</f>
        <v>0</v>
      </c>
      <c r="Q10" s="10">
        <f>VLOOKUP($N10,'Equipment &amp; Troop Q'!$A$3:$D$7,4,FALSE)</f>
        <v>0</v>
      </c>
      <c r="R10" s="10" t="s">
        <v>141</v>
      </c>
      <c r="S10" s="42">
        <f>VLOOKUP($R10,'Equipment &amp; Troop Q'!$A$13:$D$16,2,FALSE)</f>
        <v>0</v>
      </c>
      <c r="T10" s="42">
        <f>IF(OR(V10="Fanatic",Z10="Fanatic",AD10="Fanatic",AH10="Fanatic"),VLOOKUP($R10,'Equipment &amp; Troop Q'!$A$18:$D$19,3,FALSE),VLOOKUP($R10,'Equipment &amp; Troop Q'!$A$13:$D$16,3,FALSE))</f>
        <v>0</v>
      </c>
      <c r="U10" s="2">
        <f>VLOOKUP($R10,'Equipment &amp; Troop Q'!$A$13:$D$16,4,FALSE)</f>
        <v>0</v>
      </c>
      <c r="V10" s="2" t="s">
        <v>101</v>
      </c>
      <c r="W10" s="2">
        <f>VLOOKUP($V10,'Equipment &amp; Troop Q'!$F$3:$I$30,2,FALSE)</f>
        <v>0</v>
      </c>
      <c r="X10" s="2">
        <f>VLOOKUP($V10,'Equipment &amp; Troop Q'!$F$3:$I$30,3,FALSE)</f>
        <v>0</v>
      </c>
      <c r="Y10" s="2">
        <f>VLOOKUP($V10,'Equipment &amp; Troop Q'!$F$3:$I$30,4,FALSE)</f>
        <v>0</v>
      </c>
      <c r="Z10" s="2" t="s">
        <v>101</v>
      </c>
      <c r="AA10" s="2">
        <f>VLOOKUP($Z10,'Equipment &amp; Troop Q'!$F$3:$I$30,2,FALSE)</f>
        <v>0</v>
      </c>
      <c r="AB10" s="2">
        <f>VLOOKUP($Z10,'Equipment &amp; Troop Q'!$F$3:$I$30,3,FALSE)</f>
        <v>0</v>
      </c>
      <c r="AC10" s="2">
        <f>VLOOKUP($Z10,'Equipment &amp; Troop Q'!$F$3:$I$30,4,FALSE)</f>
        <v>0</v>
      </c>
      <c r="AD10" s="2" t="s">
        <v>101</v>
      </c>
      <c r="AE10" s="2">
        <f>VLOOKUP($AD10,'Equipment &amp; Troop Q'!$F$3:$I$30,2,FALSE)</f>
        <v>0</v>
      </c>
      <c r="AF10" s="2">
        <f>VLOOKUP($AD10,'Equipment &amp; Troop Q'!$F$3:$I$30,3,FALSE)</f>
        <v>0</v>
      </c>
      <c r="AG10" s="2">
        <f>VLOOKUP($AD10,'Equipment &amp; Troop Q'!$F$3:$I$30,4,FALSE)</f>
        <v>0</v>
      </c>
      <c r="AH10" s="2" t="s">
        <v>101</v>
      </c>
      <c r="AI10" s="2">
        <f>VLOOKUP($AH10,'Equipment &amp; Troop Q'!$F$3:$I$30,2,FALSE)</f>
        <v>0</v>
      </c>
      <c r="AJ10" s="2">
        <f>VLOOKUP($AH10,'Equipment &amp; Troop Q'!$F$3:$I$30,3,FALSE)</f>
        <v>0</v>
      </c>
      <c r="AK10" s="2">
        <f>VLOOKUP($AH10,'Equipment &amp; Troop Q'!$F$3:$I$30,4,FALSE)</f>
        <v>0</v>
      </c>
    </row>
    <row r="11" spans="1:37" x14ac:dyDescent="0.2">
      <c r="A11" s="5" t="s">
        <v>101</v>
      </c>
      <c r="B11" s="43">
        <f>((((VLOOKUP($A11,'TL0-5 Elements'!$A$2:$I$53,2,FALSE))*K11)*L11)*(1+O11+S11+W11+AA11+AE11+AI11))*M11</f>
        <v>0</v>
      </c>
      <c r="C11" s="43" t="str">
        <f>VLOOKUP($A11,'TL0-5 Elements'!$A$2:$I$53,3,FALSE)</f>
        <v>-</v>
      </c>
      <c r="D11" s="43">
        <f t="shared" si="0"/>
        <v>0</v>
      </c>
      <c r="E11" s="43" t="str">
        <f>VLOOKUP($A11,'TL0-5 Elements'!$A$2:$I$53,4,FALSE)</f>
        <v>-</v>
      </c>
      <c r="F11" s="43" t="str">
        <f>VLOOKUP($A11,'TL0-5 Elements'!$A$2:$I$53,5,FALSE)</f>
        <v>-</v>
      </c>
      <c r="G11" s="43" t="str">
        <f>VLOOKUP($A11,'TL0-5 Elements'!$A$2:$I$53,6,FALSE)</f>
        <v>-</v>
      </c>
      <c r="H11" s="45">
        <f>(((VLOOKUP($A11,'TL0-5 Elements'!$A$2:$I$53,7,FALSE))*L11)*(1+P11+T11+X11+AB11+AF11+AJ11))*M11</f>
        <v>0</v>
      </c>
      <c r="I11" s="45">
        <f>(((VLOOKUP($A11,'TL0-5 Elements'!$A$2:$I$53,8,FALSE))*L11)*(1+Q11+U11+Y11+AC11+AG11+AK11))*M11</f>
        <v>0</v>
      </c>
      <c r="J11" s="43">
        <f>VLOOKUP(A11,'TL0-5 Elements'!$A$2:$I$53,9,FALSE)</f>
        <v>0</v>
      </c>
      <c r="K11" s="2">
        <f>IF(VLOOKUP($A11,'TL0-5 Elements'!$A$2:$I$53,9,FALSE)-$J11=0,1,IF(VLOOKUP($A11,'TL0-5 Elements'!$A$2:$I$53,9,FALSE)-$J11=-1,2,IF(VLOOKUP($A11,'TL0-5 Elements'!$A$2:$I$53,9,FALSE)-$J11=-2,4,IF(VLOOKUP($A11,'TL0-5 Elements'!$A$2:$I$53,9,FALSE)-$J11=-3,8,IF(VLOOKUP($A11,'TL0-5 Elements'!$A$2:$I$53,9,FALSE)-$J11=-4,16,"Invalid")))))</f>
        <v>1</v>
      </c>
      <c r="L11" s="10">
        <v>1</v>
      </c>
      <c r="M11" s="44">
        <v>1</v>
      </c>
      <c r="N11" s="10" t="s">
        <v>138</v>
      </c>
      <c r="O11" s="10">
        <f>VLOOKUP(N11,'Equipment &amp; Troop Q'!$A$3:$D$7,2,FALSE)</f>
        <v>0</v>
      </c>
      <c r="P11" s="10">
        <f>VLOOKUP($N11,'Equipment &amp; Troop Q'!$A$3:$D$7,3,FALSE)</f>
        <v>0</v>
      </c>
      <c r="Q11" s="10">
        <f>VLOOKUP($N11,'Equipment &amp; Troop Q'!$A$3:$D$7,4,FALSE)</f>
        <v>0</v>
      </c>
      <c r="R11" s="10" t="s">
        <v>141</v>
      </c>
      <c r="S11" s="42">
        <f>VLOOKUP($R11,'Equipment &amp; Troop Q'!$A$13:$D$16,2,FALSE)</f>
        <v>0</v>
      </c>
      <c r="T11" s="42">
        <f>IF(OR(V11="Fanatic",Z11="Fanatic",AD11="Fanatic",AH11="Fanatic"),VLOOKUP($R11,'Equipment &amp; Troop Q'!$A$18:$D$19,3,FALSE),VLOOKUP($R11,'Equipment &amp; Troop Q'!$A$13:$D$16,3,FALSE))</f>
        <v>0</v>
      </c>
      <c r="U11" s="2">
        <f>VLOOKUP($R11,'Equipment &amp; Troop Q'!$A$13:$D$16,4,FALSE)</f>
        <v>0</v>
      </c>
      <c r="V11" s="2" t="s">
        <v>101</v>
      </c>
      <c r="W11" s="2">
        <f>VLOOKUP($V11,'Equipment &amp; Troop Q'!$F$3:$I$30,2,FALSE)</f>
        <v>0</v>
      </c>
      <c r="X11" s="2">
        <f>VLOOKUP($V11,'Equipment &amp; Troop Q'!$F$3:$I$30,3,FALSE)</f>
        <v>0</v>
      </c>
      <c r="Y11" s="2">
        <f>VLOOKUP($V11,'Equipment &amp; Troop Q'!$F$3:$I$30,4,FALSE)</f>
        <v>0</v>
      </c>
      <c r="Z11" s="2" t="s">
        <v>101</v>
      </c>
      <c r="AA11" s="2">
        <f>VLOOKUP($Z11,'Equipment &amp; Troop Q'!$F$3:$I$30,2,FALSE)</f>
        <v>0</v>
      </c>
      <c r="AB11" s="2">
        <f>VLOOKUP($Z11,'Equipment &amp; Troop Q'!$F$3:$I$30,3,FALSE)</f>
        <v>0</v>
      </c>
      <c r="AC11" s="2">
        <f>VLOOKUP($Z11,'Equipment &amp; Troop Q'!$F$3:$I$30,4,FALSE)</f>
        <v>0</v>
      </c>
      <c r="AD11" s="2" t="s">
        <v>101</v>
      </c>
      <c r="AE11" s="2">
        <f>VLOOKUP($AD11,'Equipment &amp; Troop Q'!$F$3:$I$30,2,FALSE)</f>
        <v>0</v>
      </c>
      <c r="AF11" s="2">
        <f>VLOOKUP($AD11,'Equipment &amp; Troop Q'!$F$3:$I$30,3,FALSE)</f>
        <v>0</v>
      </c>
      <c r="AG11" s="2">
        <f>VLOOKUP($AD11,'Equipment &amp; Troop Q'!$F$3:$I$30,4,FALSE)</f>
        <v>0</v>
      </c>
      <c r="AH11" s="2" t="s">
        <v>101</v>
      </c>
      <c r="AI11" s="2">
        <f>VLOOKUP($AH11,'Equipment &amp; Troop Q'!$F$3:$I$30,2,FALSE)</f>
        <v>0</v>
      </c>
      <c r="AJ11" s="2">
        <f>VLOOKUP($AH11,'Equipment &amp; Troop Q'!$F$3:$I$30,3,FALSE)</f>
        <v>0</v>
      </c>
      <c r="AK11" s="2">
        <f>VLOOKUP($AH11,'Equipment &amp; Troop Q'!$F$3:$I$30,4,FALSE)</f>
        <v>0</v>
      </c>
    </row>
    <row r="12" spans="1:37" x14ac:dyDescent="0.2">
      <c r="A12" s="5" t="s">
        <v>101</v>
      </c>
      <c r="B12" s="43">
        <f>((((VLOOKUP($A12,'TL0-5 Elements'!$A$2:$I$53,2,FALSE))*K12)*L12)*(1+O12+S12+W12+AA12+AE12+AI12))*M12</f>
        <v>0</v>
      </c>
      <c r="C12" s="43" t="str">
        <f>VLOOKUP($A12,'TL0-5 Elements'!$A$2:$I$53,3,FALSE)</f>
        <v>-</v>
      </c>
      <c r="D12" s="43">
        <f t="shared" si="0"/>
        <v>0</v>
      </c>
      <c r="E12" s="43" t="str">
        <f>VLOOKUP($A12,'TL0-5 Elements'!$A$2:$I$53,4,FALSE)</f>
        <v>-</v>
      </c>
      <c r="F12" s="43" t="str">
        <f>VLOOKUP($A12,'TL0-5 Elements'!$A$2:$I$53,5,FALSE)</f>
        <v>-</v>
      </c>
      <c r="G12" s="43" t="str">
        <f>VLOOKUP($A12,'TL0-5 Elements'!$A$2:$I$53,6,FALSE)</f>
        <v>-</v>
      </c>
      <c r="H12" s="45">
        <f>(((VLOOKUP($A12,'TL0-5 Elements'!$A$2:$I$53,7,FALSE))*L12)*(1+P12+T12+X12+AB12+AF12+AJ12))*M12</f>
        <v>0</v>
      </c>
      <c r="I12" s="45">
        <f>(((VLOOKUP($A12,'TL0-5 Elements'!$A$2:$I$53,8,FALSE))*L12)*(1+Q12+U12+Y12+AC12+AG12+AK12))*M12</f>
        <v>0</v>
      </c>
      <c r="J12" s="43">
        <f>VLOOKUP(A12,'TL0-5 Elements'!$A$2:$I$53,9,FALSE)</f>
        <v>0</v>
      </c>
      <c r="K12" s="2">
        <f>IF(VLOOKUP($A12,'TL0-5 Elements'!$A$2:$I$53,9,FALSE)-$J12=0,1,IF(VLOOKUP($A12,'TL0-5 Elements'!$A$2:$I$53,9,FALSE)-$J12=-1,2,IF(VLOOKUP($A12,'TL0-5 Elements'!$A$2:$I$53,9,FALSE)-$J12=-2,4,IF(VLOOKUP($A12,'TL0-5 Elements'!$A$2:$I$53,9,FALSE)-$J12=-3,8,IF(VLOOKUP($A12,'TL0-5 Elements'!$A$2:$I$53,9,FALSE)-$J12=-4,16,"Invalid")))))</f>
        <v>1</v>
      </c>
      <c r="L12" s="10">
        <v>1</v>
      </c>
      <c r="M12" s="44">
        <v>1</v>
      </c>
      <c r="N12" s="10" t="s">
        <v>138</v>
      </c>
      <c r="O12" s="10">
        <f>VLOOKUP(N12,'Equipment &amp; Troop Q'!$A$3:$D$7,2,FALSE)</f>
        <v>0</v>
      </c>
      <c r="P12" s="10">
        <f>VLOOKUP($N12,'Equipment &amp; Troop Q'!$A$3:$D$7,3,FALSE)</f>
        <v>0</v>
      </c>
      <c r="Q12" s="10">
        <f>VLOOKUP($N12,'Equipment &amp; Troop Q'!$A$3:$D$7,4,FALSE)</f>
        <v>0</v>
      </c>
      <c r="R12" s="10" t="s">
        <v>141</v>
      </c>
      <c r="S12" s="42">
        <f>VLOOKUP($R12,'Equipment &amp; Troop Q'!$A$13:$D$16,2,FALSE)</f>
        <v>0</v>
      </c>
      <c r="T12" s="42">
        <f>IF(OR(V12="Fanatic",Z12="Fanatic",AD12="Fanatic",AH12="Fanatic"),VLOOKUP($R12,'Equipment &amp; Troop Q'!$A$18:$D$19,3,FALSE),VLOOKUP($R12,'Equipment &amp; Troop Q'!$A$13:$D$16,3,FALSE))</f>
        <v>0</v>
      </c>
      <c r="U12" s="2">
        <f>VLOOKUP($R12,'Equipment &amp; Troop Q'!$A$13:$D$16,4,FALSE)</f>
        <v>0</v>
      </c>
      <c r="V12" s="2" t="s">
        <v>101</v>
      </c>
      <c r="W12" s="2">
        <f>VLOOKUP($V12,'Equipment &amp; Troop Q'!$F$3:$I$30,2,FALSE)</f>
        <v>0</v>
      </c>
      <c r="X12" s="2">
        <f>VLOOKUP($V12,'Equipment &amp; Troop Q'!$F$3:$I$30,3,FALSE)</f>
        <v>0</v>
      </c>
      <c r="Y12" s="2">
        <f>VLOOKUP($V12,'Equipment &amp; Troop Q'!$F$3:$I$30,4,FALSE)</f>
        <v>0</v>
      </c>
      <c r="Z12" s="2" t="s">
        <v>101</v>
      </c>
      <c r="AA12" s="2">
        <f>VLOOKUP($Z12,'Equipment &amp; Troop Q'!$F$3:$I$30,2,FALSE)</f>
        <v>0</v>
      </c>
      <c r="AB12" s="2">
        <f>VLOOKUP($Z12,'Equipment &amp; Troop Q'!$F$3:$I$30,3,FALSE)</f>
        <v>0</v>
      </c>
      <c r="AC12" s="2">
        <f>VLOOKUP($Z12,'Equipment &amp; Troop Q'!$F$3:$I$30,4,FALSE)</f>
        <v>0</v>
      </c>
      <c r="AD12" s="2" t="s">
        <v>101</v>
      </c>
      <c r="AE12" s="2">
        <f>VLOOKUP($AD12,'Equipment &amp; Troop Q'!$F$3:$I$30,2,FALSE)</f>
        <v>0</v>
      </c>
      <c r="AF12" s="2">
        <f>VLOOKUP($AD12,'Equipment &amp; Troop Q'!$F$3:$I$30,3,FALSE)</f>
        <v>0</v>
      </c>
      <c r="AG12" s="2">
        <f>VLOOKUP($AD12,'Equipment &amp; Troop Q'!$F$3:$I$30,4,FALSE)</f>
        <v>0</v>
      </c>
      <c r="AH12" s="2" t="s">
        <v>101</v>
      </c>
      <c r="AI12" s="2">
        <f>VLOOKUP($AH12,'Equipment &amp; Troop Q'!$F$3:$I$30,2,FALSE)</f>
        <v>0</v>
      </c>
      <c r="AJ12" s="2">
        <f>VLOOKUP($AH12,'Equipment &amp; Troop Q'!$F$3:$I$30,3,FALSE)</f>
        <v>0</v>
      </c>
      <c r="AK12" s="2">
        <f>VLOOKUP($AH12,'Equipment &amp; Troop Q'!$F$3:$I$30,4,FALSE)</f>
        <v>0</v>
      </c>
    </row>
    <row r="13" spans="1:37" x14ac:dyDescent="0.2">
      <c r="A13" s="5" t="s">
        <v>101</v>
      </c>
      <c r="B13" s="43">
        <f>((((VLOOKUP($A13,'TL0-5 Elements'!$A$2:$I$53,2,FALSE))*K13)*L13)*(1+O13+S13+W13+AA13+AE13+AI13))*M13</f>
        <v>0</v>
      </c>
      <c r="C13" s="43" t="str">
        <f>VLOOKUP($A13,'TL0-5 Elements'!$A$2:$I$53,3,FALSE)</f>
        <v>-</v>
      </c>
      <c r="D13" s="43">
        <f t="shared" si="0"/>
        <v>0</v>
      </c>
      <c r="E13" s="43" t="str">
        <f>VLOOKUP($A13,'TL0-5 Elements'!$A$2:$I$53,4,FALSE)</f>
        <v>-</v>
      </c>
      <c r="F13" s="43" t="str">
        <f>VLOOKUP($A13,'TL0-5 Elements'!$A$2:$I$53,5,FALSE)</f>
        <v>-</v>
      </c>
      <c r="G13" s="43" t="str">
        <f>VLOOKUP($A13,'TL0-5 Elements'!$A$2:$I$53,6,FALSE)</f>
        <v>-</v>
      </c>
      <c r="H13" s="45">
        <f>(((VLOOKUP($A13,'TL0-5 Elements'!$A$2:$I$53,7,FALSE))*L13)*(1+P13+T13+X13+AB13+AF13+AJ13))*M13</f>
        <v>0</v>
      </c>
      <c r="I13" s="45">
        <f>(((VLOOKUP($A13,'TL0-5 Elements'!$A$2:$I$53,8,FALSE))*L13)*(1+Q13+U13+Y13+AC13+AG13+AK13))*M13</f>
        <v>0</v>
      </c>
      <c r="J13" s="43">
        <f>VLOOKUP(A13,'TL0-5 Elements'!$A$2:$I$53,9,FALSE)</f>
        <v>0</v>
      </c>
      <c r="K13" s="2">
        <f>IF(VLOOKUP($A13,'TL0-5 Elements'!$A$2:$I$53,9,FALSE)-$J13=0,1,IF(VLOOKUP($A13,'TL0-5 Elements'!$A$2:$I$53,9,FALSE)-$J13=-1,2,IF(VLOOKUP($A13,'TL0-5 Elements'!$A$2:$I$53,9,FALSE)-$J13=-2,4,IF(VLOOKUP($A13,'TL0-5 Elements'!$A$2:$I$53,9,FALSE)-$J13=-3,8,IF(VLOOKUP($A13,'TL0-5 Elements'!$A$2:$I$53,9,FALSE)-$J13=-4,16,"Invalid")))))</f>
        <v>1</v>
      </c>
      <c r="L13" s="10">
        <v>1</v>
      </c>
      <c r="M13" s="44">
        <v>1</v>
      </c>
      <c r="N13" s="10" t="s">
        <v>138</v>
      </c>
      <c r="O13" s="10">
        <f>VLOOKUP(N13,'Equipment &amp; Troop Q'!$A$3:$D$7,2,FALSE)</f>
        <v>0</v>
      </c>
      <c r="P13" s="10">
        <f>VLOOKUP($N13,'Equipment &amp; Troop Q'!$A$3:$D$7,3,FALSE)</f>
        <v>0</v>
      </c>
      <c r="Q13" s="10">
        <f>VLOOKUP($N13,'Equipment &amp; Troop Q'!$A$3:$D$7,4,FALSE)</f>
        <v>0</v>
      </c>
      <c r="R13" s="10" t="s">
        <v>141</v>
      </c>
      <c r="S13" s="42">
        <f>VLOOKUP($R13,'Equipment &amp; Troop Q'!$A$13:$D$16,2,FALSE)</f>
        <v>0</v>
      </c>
      <c r="T13" s="42">
        <f>IF(OR(V13="Fanatic",Z13="Fanatic",AD13="Fanatic",AH13="Fanatic"),VLOOKUP($R13,'Equipment &amp; Troop Q'!$A$18:$D$19,3,FALSE),VLOOKUP($R13,'Equipment &amp; Troop Q'!$A$13:$D$16,3,FALSE))</f>
        <v>0</v>
      </c>
      <c r="U13" s="2">
        <f>VLOOKUP($R13,'Equipment &amp; Troop Q'!$A$13:$D$16,4,FALSE)</f>
        <v>0</v>
      </c>
      <c r="V13" s="2" t="s">
        <v>101</v>
      </c>
      <c r="W13" s="2">
        <f>VLOOKUP($V13,'Equipment &amp; Troop Q'!$F$3:$I$30,2,FALSE)</f>
        <v>0</v>
      </c>
      <c r="X13" s="2">
        <f>VLOOKUP($V13,'Equipment &amp; Troop Q'!$F$3:$I$30,3,FALSE)</f>
        <v>0</v>
      </c>
      <c r="Y13" s="2">
        <f>VLOOKUP($V13,'Equipment &amp; Troop Q'!$F$3:$I$30,4,FALSE)</f>
        <v>0</v>
      </c>
      <c r="Z13" s="2" t="s">
        <v>101</v>
      </c>
      <c r="AA13" s="2">
        <f>VLOOKUP($Z13,'Equipment &amp; Troop Q'!$F$3:$I$30,2,FALSE)</f>
        <v>0</v>
      </c>
      <c r="AB13" s="2">
        <f>VLOOKUP($Z13,'Equipment &amp; Troop Q'!$F$3:$I$30,3,FALSE)</f>
        <v>0</v>
      </c>
      <c r="AC13" s="2">
        <f>VLOOKUP($Z13,'Equipment &amp; Troop Q'!$F$3:$I$30,4,FALSE)</f>
        <v>0</v>
      </c>
      <c r="AD13" s="2" t="s">
        <v>101</v>
      </c>
      <c r="AE13" s="2">
        <f>VLOOKUP($AD13,'Equipment &amp; Troop Q'!$F$3:$I$30,2,FALSE)</f>
        <v>0</v>
      </c>
      <c r="AF13" s="2">
        <f>VLOOKUP($AD13,'Equipment &amp; Troop Q'!$F$3:$I$30,3,FALSE)</f>
        <v>0</v>
      </c>
      <c r="AG13" s="2">
        <f>VLOOKUP($AD13,'Equipment &amp; Troop Q'!$F$3:$I$30,4,FALSE)</f>
        <v>0</v>
      </c>
      <c r="AH13" s="2" t="s">
        <v>101</v>
      </c>
      <c r="AI13" s="2">
        <f>VLOOKUP($AH13,'Equipment &amp; Troop Q'!$F$3:$I$30,2,FALSE)</f>
        <v>0</v>
      </c>
      <c r="AJ13" s="2">
        <f>VLOOKUP($AH13,'Equipment &amp; Troop Q'!$F$3:$I$30,3,FALSE)</f>
        <v>0</v>
      </c>
      <c r="AK13" s="2">
        <f>VLOOKUP($AH13,'Equipment &amp; Troop Q'!$F$3:$I$30,4,FALSE)</f>
        <v>0</v>
      </c>
    </row>
    <row r="14" spans="1:37" x14ac:dyDescent="0.2">
      <c r="A14" s="5" t="s">
        <v>101</v>
      </c>
      <c r="B14" s="43">
        <f>((((VLOOKUP($A14,'TL0-5 Elements'!$A$2:$I$53,2,FALSE))*K14)*L14)*(1+O14+S14+W14+AA14+AE14+AI14))*M14</f>
        <v>0</v>
      </c>
      <c r="C14" s="43" t="str">
        <f>VLOOKUP($A14,'TL0-5 Elements'!$A$2:$I$53,3,FALSE)</f>
        <v>-</v>
      </c>
      <c r="D14" s="43">
        <f t="shared" si="0"/>
        <v>0</v>
      </c>
      <c r="E14" s="43" t="str">
        <f>VLOOKUP($A14,'TL0-5 Elements'!$A$2:$I$53,4,FALSE)</f>
        <v>-</v>
      </c>
      <c r="F14" s="43" t="str">
        <f>VLOOKUP($A14,'TL0-5 Elements'!$A$2:$I$53,5,FALSE)</f>
        <v>-</v>
      </c>
      <c r="G14" s="43" t="str">
        <f>VLOOKUP($A14,'TL0-5 Elements'!$A$2:$I$53,6,FALSE)</f>
        <v>-</v>
      </c>
      <c r="H14" s="45">
        <f>(((VLOOKUP($A14,'TL0-5 Elements'!$A$2:$I$53,7,FALSE))*L14)*(1+P14+T14+X14+AB14+AF14+AJ14))*M14</f>
        <v>0</v>
      </c>
      <c r="I14" s="45">
        <f>(((VLOOKUP($A14,'TL0-5 Elements'!$A$2:$I$53,8,FALSE))*L14)*(1+Q14+U14+Y14+AC14+AG14+AK14))*M14</f>
        <v>0</v>
      </c>
      <c r="J14" s="43">
        <f>VLOOKUP(A14,'TL0-5 Elements'!$A$2:$I$53,9,FALSE)</f>
        <v>0</v>
      </c>
      <c r="K14" s="2">
        <f>IF(VLOOKUP($A14,'TL0-5 Elements'!$A$2:$I$53,9,FALSE)-$J14=0,1,IF(VLOOKUP($A14,'TL0-5 Elements'!$A$2:$I$53,9,FALSE)-$J14=-1,2,IF(VLOOKUP($A14,'TL0-5 Elements'!$A$2:$I$53,9,FALSE)-$J14=-2,4,IF(VLOOKUP($A14,'TL0-5 Elements'!$A$2:$I$53,9,FALSE)-$J14=-3,8,IF(VLOOKUP($A14,'TL0-5 Elements'!$A$2:$I$53,9,FALSE)-$J14=-4,16,"Invalid")))))</f>
        <v>1</v>
      </c>
      <c r="L14" s="10">
        <v>1</v>
      </c>
      <c r="M14" s="44">
        <v>1</v>
      </c>
      <c r="N14" s="10" t="s">
        <v>138</v>
      </c>
      <c r="O14" s="10">
        <f>VLOOKUP(N14,'Equipment &amp; Troop Q'!$A$3:$D$7,2,FALSE)</f>
        <v>0</v>
      </c>
      <c r="P14" s="10">
        <f>VLOOKUP($N14,'Equipment &amp; Troop Q'!$A$3:$D$7,3,FALSE)</f>
        <v>0</v>
      </c>
      <c r="Q14" s="10">
        <f>VLOOKUP($N14,'Equipment &amp; Troop Q'!$A$3:$D$7,4,FALSE)</f>
        <v>0</v>
      </c>
      <c r="R14" s="10" t="s">
        <v>141</v>
      </c>
      <c r="S14" s="42">
        <f>VLOOKUP($R14,'Equipment &amp; Troop Q'!$A$13:$D$16,2,FALSE)</f>
        <v>0</v>
      </c>
      <c r="T14" s="42">
        <f>IF(OR(V14="Fanatic",Z14="Fanatic",AD14="Fanatic",AH14="Fanatic"),VLOOKUP($R14,'Equipment &amp; Troop Q'!$A$18:$D$19,3,FALSE),VLOOKUP($R14,'Equipment &amp; Troop Q'!$A$13:$D$16,3,FALSE))</f>
        <v>0</v>
      </c>
      <c r="U14" s="2">
        <f>VLOOKUP($R14,'Equipment &amp; Troop Q'!$A$13:$D$16,4,FALSE)</f>
        <v>0</v>
      </c>
      <c r="V14" s="2" t="s">
        <v>101</v>
      </c>
      <c r="W14" s="2">
        <f>VLOOKUP($V14,'Equipment &amp; Troop Q'!$F$3:$I$30,2,FALSE)</f>
        <v>0</v>
      </c>
      <c r="X14" s="2">
        <f>VLOOKUP($V14,'Equipment &amp; Troop Q'!$F$3:$I$30,3,FALSE)</f>
        <v>0</v>
      </c>
      <c r="Y14" s="2">
        <f>VLOOKUP($V14,'Equipment &amp; Troop Q'!$F$3:$I$30,4,FALSE)</f>
        <v>0</v>
      </c>
      <c r="Z14" s="2" t="s">
        <v>101</v>
      </c>
      <c r="AA14" s="2">
        <f>VLOOKUP($Z14,'Equipment &amp; Troop Q'!$F$3:$I$30,2,FALSE)</f>
        <v>0</v>
      </c>
      <c r="AB14" s="2">
        <f>VLOOKUP($Z14,'Equipment &amp; Troop Q'!$F$3:$I$30,3,FALSE)</f>
        <v>0</v>
      </c>
      <c r="AC14" s="2">
        <f>VLOOKUP($Z14,'Equipment &amp; Troop Q'!$F$3:$I$30,4,FALSE)</f>
        <v>0</v>
      </c>
      <c r="AD14" s="2" t="s">
        <v>101</v>
      </c>
      <c r="AE14" s="2">
        <f>VLOOKUP($AD14,'Equipment &amp; Troop Q'!$F$3:$I$30,2,FALSE)</f>
        <v>0</v>
      </c>
      <c r="AF14" s="2">
        <f>VLOOKUP($AD14,'Equipment &amp; Troop Q'!$F$3:$I$30,3,FALSE)</f>
        <v>0</v>
      </c>
      <c r="AG14" s="2">
        <f>VLOOKUP($AD14,'Equipment &amp; Troop Q'!$F$3:$I$30,4,FALSE)</f>
        <v>0</v>
      </c>
      <c r="AH14" s="2" t="s">
        <v>101</v>
      </c>
      <c r="AI14" s="2">
        <f>VLOOKUP($AH14,'Equipment &amp; Troop Q'!$F$3:$I$30,2,FALSE)</f>
        <v>0</v>
      </c>
      <c r="AJ14" s="2">
        <f>VLOOKUP($AH14,'Equipment &amp; Troop Q'!$F$3:$I$30,3,FALSE)</f>
        <v>0</v>
      </c>
      <c r="AK14" s="2">
        <f>VLOOKUP($AH14,'Equipment &amp; Troop Q'!$F$3:$I$30,4,FALSE)</f>
        <v>0</v>
      </c>
    </row>
    <row r="15" spans="1:37" x14ac:dyDescent="0.2">
      <c r="A15" s="5" t="s">
        <v>101</v>
      </c>
      <c r="B15" s="43">
        <f>((((VLOOKUP($A15,'TL0-5 Elements'!$A$2:$I$53,2,FALSE))*K15)*L15)*(1+O15+S15+W15+AA15+AE15+AI15))*M15</f>
        <v>0</v>
      </c>
      <c r="C15" s="43" t="str">
        <f>VLOOKUP($A15,'TL0-5 Elements'!$A$2:$I$53,3,FALSE)</f>
        <v>-</v>
      </c>
      <c r="D15" s="43">
        <f t="shared" si="0"/>
        <v>0</v>
      </c>
      <c r="E15" s="43" t="str">
        <f>VLOOKUP($A15,'TL0-5 Elements'!$A$2:$I$53,4,FALSE)</f>
        <v>-</v>
      </c>
      <c r="F15" s="43" t="str">
        <f>VLOOKUP($A15,'TL0-5 Elements'!$A$2:$I$53,5,FALSE)</f>
        <v>-</v>
      </c>
      <c r="G15" s="43" t="str">
        <f>VLOOKUP($A15,'TL0-5 Elements'!$A$2:$I$53,6,FALSE)</f>
        <v>-</v>
      </c>
      <c r="H15" s="45">
        <f>(((VLOOKUP($A15,'TL0-5 Elements'!$A$2:$I$53,7,FALSE))*L15)*(1+P15+T15+X15+AB15+AF15+AJ15))*M15</f>
        <v>0</v>
      </c>
      <c r="I15" s="45">
        <f>(((VLOOKUP($A15,'TL0-5 Elements'!$A$2:$I$53,8,FALSE))*L15)*(1+Q15+U15+Y15+AC15+AG15+AK15))*M15</f>
        <v>0</v>
      </c>
      <c r="J15" s="43">
        <f>VLOOKUP(A15,'TL0-5 Elements'!$A$2:$I$53,9,FALSE)</f>
        <v>0</v>
      </c>
      <c r="K15" s="2">
        <f>IF(VLOOKUP($A15,'TL0-5 Elements'!$A$2:$I$53,9,FALSE)-$J15=0,1,IF(VLOOKUP($A15,'TL0-5 Elements'!$A$2:$I$53,9,FALSE)-$J15=-1,2,IF(VLOOKUP($A15,'TL0-5 Elements'!$A$2:$I$53,9,FALSE)-$J15=-2,4,IF(VLOOKUP($A15,'TL0-5 Elements'!$A$2:$I$53,9,FALSE)-$J15=-3,8,IF(VLOOKUP($A15,'TL0-5 Elements'!$A$2:$I$53,9,FALSE)-$J15=-4,16,"Invalid")))))</f>
        <v>1</v>
      </c>
      <c r="L15" s="10">
        <v>1</v>
      </c>
      <c r="M15" s="44">
        <v>1</v>
      </c>
      <c r="N15" s="10" t="s">
        <v>138</v>
      </c>
      <c r="O15" s="10">
        <f>VLOOKUP(N15,'Equipment &amp; Troop Q'!$A$3:$D$7,2,FALSE)</f>
        <v>0</v>
      </c>
      <c r="P15" s="10">
        <f>VLOOKUP($N15,'Equipment &amp; Troop Q'!$A$3:$D$7,3,FALSE)</f>
        <v>0</v>
      </c>
      <c r="Q15" s="10">
        <f>VLOOKUP($N15,'Equipment &amp; Troop Q'!$A$3:$D$7,4,FALSE)</f>
        <v>0</v>
      </c>
      <c r="R15" s="10" t="s">
        <v>141</v>
      </c>
      <c r="S15" s="42">
        <f>VLOOKUP($R15,'Equipment &amp; Troop Q'!$A$13:$D$16,2,FALSE)</f>
        <v>0</v>
      </c>
      <c r="T15" s="42">
        <f>IF(OR(V15="Fanatic",Z15="Fanatic",AD15="Fanatic",AH15="Fanatic"),VLOOKUP($R15,'Equipment &amp; Troop Q'!$A$18:$D$19,3,FALSE),VLOOKUP($R15,'Equipment &amp; Troop Q'!$A$13:$D$16,3,FALSE))</f>
        <v>0</v>
      </c>
      <c r="U15" s="2">
        <f>VLOOKUP($R15,'Equipment &amp; Troop Q'!$A$13:$D$16,4,FALSE)</f>
        <v>0</v>
      </c>
      <c r="V15" s="2" t="s">
        <v>101</v>
      </c>
      <c r="W15" s="2">
        <f>VLOOKUP($V15,'Equipment &amp; Troop Q'!$F$3:$I$30,2,FALSE)</f>
        <v>0</v>
      </c>
      <c r="X15" s="2">
        <f>VLOOKUP($V15,'Equipment &amp; Troop Q'!$F$3:$I$30,3,FALSE)</f>
        <v>0</v>
      </c>
      <c r="Y15" s="2">
        <f>VLOOKUP($V15,'Equipment &amp; Troop Q'!$F$3:$I$30,4,FALSE)</f>
        <v>0</v>
      </c>
      <c r="Z15" s="2" t="s">
        <v>101</v>
      </c>
      <c r="AA15" s="2">
        <f>VLOOKUP($Z15,'Equipment &amp; Troop Q'!$F$3:$I$30,2,FALSE)</f>
        <v>0</v>
      </c>
      <c r="AB15" s="2">
        <f>VLOOKUP($Z15,'Equipment &amp; Troop Q'!$F$3:$I$30,3,FALSE)</f>
        <v>0</v>
      </c>
      <c r="AC15" s="2">
        <f>VLOOKUP($Z15,'Equipment &amp; Troop Q'!$F$3:$I$30,4,FALSE)</f>
        <v>0</v>
      </c>
      <c r="AD15" s="2" t="s">
        <v>101</v>
      </c>
      <c r="AE15" s="2">
        <f>VLOOKUP($AD15,'Equipment &amp; Troop Q'!$F$3:$I$30,2,FALSE)</f>
        <v>0</v>
      </c>
      <c r="AF15" s="2">
        <f>VLOOKUP($AD15,'Equipment &amp; Troop Q'!$F$3:$I$30,3,FALSE)</f>
        <v>0</v>
      </c>
      <c r="AG15" s="2">
        <f>VLOOKUP($AD15,'Equipment &amp; Troop Q'!$F$3:$I$30,4,FALSE)</f>
        <v>0</v>
      </c>
      <c r="AH15" s="2" t="s">
        <v>101</v>
      </c>
      <c r="AI15" s="2">
        <f>VLOOKUP($AH15,'Equipment &amp; Troop Q'!$F$3:$I$30,2,FALSE)</f>
        <v>0</v>
      </c>
      <c r="AJ15" s="2">
        <f>VLOOKUP($AH15,'Equipment &amp; Troop Q'!$F$3:$I$30,3,FALSE)</f>
        <v>0</v>
      </c>
      <c r="AK15" s="2">
        <f>VLOOKUP($AH15,'Equipment &amp; Troop Q'!$F$3:$I$30,4,FALSE)</f>
        <v>0</v>
      </c>
    </row>
    <row r="16" spans="1:37" x14ac:dyDescent="0.2">
      <c r="A16" s="5" t="s">
        <v>101</v>
      </c>
      <c r="B16" s="43">
        <f>((((VLOOKUP($A16,'TL0-5 Elements'!$A$2:$I$53,2,FALSE))*K16)*L16)*(1+O16+S16+W16+AA16+AE16+AI16))*M16</f>
        <v>0</v>
      </c>
      <c r="C16" s="43" t="str">
        <f>VLOOKUP($A16,'TL0-5 Elements'!$A$2:$I$53,3,FALSE)</f>
        <v>-</v>
      </c>
      <c r="D16" s="43">
        <f t="shared" si="0"/>
        <v>0</v>
      </c>
      <c r="E16" s="43" t="str">
        <f>VLOOKUP($A16,'TL0-5 Elements'!$A$2:$I$53,4,FALSE)</f>
        <v>-</v>
      </c>
      <c r="F16" s="43" t="str">
        <f>VLOOKUP($A16,'TL0-5 Elements'!$A$2:$I$53,5,FALSE)</f>
        <v>-</v>
      </c>
      <c r="G16" s="43" t="str">
        <f>VLOOKUP($A16,'TL0-5 Elements'!$A$2:$I$53,6,FALSE)</f>
        <v>-</v>
      </c>
      <c r="H16" s="45">
        <f>(((VLOOKUP($A16,'TL0-5 Elements'!$A$2:$I$53,7,FALSE))*L16)*(1+P16+T16+X16+AB16+AF16+AJ16))*M16</f>
        <v>0</v>
      </c>
      <c r="I16" s="45">
        <f>(((VLOOKUP($A16,'TL0-5 Elements'!$A$2:$I$53,8,FALSE))*L16)*(1+Q16+U16+Y16+AC16+AG16+AK16))*M16</f>
        <v>0</v>
      </c>
      <c r="J16" s="43">
        <f>VLOOKUP(A16,'TL0-5 Elements'!$A$2:$I$53,9,FALSE)</f>
        <v>0</v>
      </c>
      <c r="K16" s="2">
        <f>IF(VLOOKUP($A16,'TL0-5 Elements'!$A$2:$I$53,9,FALSE)-$J16=0,1,IF(VLOOKUP($A16,'TL0-5 Elements'!$A$2:$I$53,9,FALSE)-$J16=-1,2,IF(VLOOKUP($A16,'TL0-5 Elements'!$A$2:$I$53,9,FALSE)-$J16=-2,4,IF(VLOOKUP($A16,'TL0-5 Elements'!$A$2:$I$53,9,FALSE)-$J16=-3,8,IF(VLOOKUP($A16,'TL0-5 Elements'!$A$2:$I$53,9,FALSE)-$J16=-4,16,"Invalid")))))</f>
        <v>1</v>
      </c>
      <c r="L16" s="10">
        <v>1</v>
      </c>
      <c r="M16" s="44">
        <v>1</v>
      </c>
      <c r="N16" s="10" t="s">
        <v>138</v>
      </c>
      <c r="O16" s="10">
        <f>VLOOKUP(N16,'Equipment &amp; Troop Q'!$A$3:$D$7,2,FALSE)</f>
        <v>0</v>
      </c>
      <c r="P16" s="10">
        <f>VLOOKUP($N16,'Equipment &amp; Troop Q'!$A$3:$D$7,3,FALSE)</f>
        <v>0</v>
      </c>
      <c r="Q16" s="10">
        <f>VLOOKUP($N16,'Equipment &amp; Troop Q'!$A$3:$D$7,4,FALSE)</f>
        <v>0</v>
      </c>
      <c r="R16" s="10" t="s">
        <v>141</v>
      </c>
      <c r="S16" s="42">
        <f>VLOOKUP($R16,'Equipment &amp; Troop Q'!$A$13:$D$16,2,FALSE)</f>
        <v>0</v>
      </c>
      <c r="T16" s="42">
        <f>IF(OR(V16="Fanatic",Z16="Fanatic",AD16="Fanatic",AH16="Fanatic"),VLOOKUP($R16,'Equipment &amp; Troop Q'!$A$18:$D$19,3,FALSE),VLOOKUP($R16,'Equipment &amp; Troop Q'!$A$13:$D$16,3,FALSE))</f>
        <v>0</v>
      </c>
      <c r="U16" s="2">
        <f>VLOOKUP($R16,'Equipment &amp; Troop Q'!$A$13:$D$16,4,FALSE)</f>
        <v>0</v>
      </c>
      <c r="V16" s="2" t="s">
        <v>101</v>
      </c>
      <c r="W16" s="2">
        <f>VLOOKUP($V16,'Equipment &amp; Troop Q'!$F$3:$I$30,2,FALSE)</f>
        <v>0</v>
      </c>
      <c r="X16" s="2">
        <f>VLOOKUP($V16,'Equipment &amp; Troop Q'!$F$3:$I$30,3,FALSE)</f>
        <v>0</v>
      </c>
      <c r="Y16" s="2">
        <f>VLOOKUP($V16,'Equipment &amp; Troop Q'!$F$3:$I$30,4,FALSE)</f>
        <v>0</v>
      </c>
      <c r="Z16" s="2" t="s">
        <v>101</v>
      </c>
      <c r="AA16" s="2">
        <f>VLOOKUP($Z16,'Equipment &amp; Troop Q'!$F$3:$I$30,2,FALSE)</f>
        <v>0</v>
      </c>
      <c r="AB16" s="2">
        <f>VLOOKUP($Z16,'Equipment &amp; Troop Q'!$F$3:$I$30,3,FALSE)</f>
        <v>0</v>
      </c>
      <c r="AC16" s="2">
        <f>VLOOKUP($Z16,'Equipment &amp; Troop Q'!$F$3:$I$30,4,FALSE)</f>
        <v>0</v>
      </c>
      <c r="AD16" s="2" t="s">
        <v>101</v>
      </c>
      <c r="AE16" s="2">
        <f>VLOOKUP($AD16,'Equipment &amp; Troop Q'!$F$3:$I$30,2,FALSE)</f>
        <v>0</v>
      </c>
      <c r="AF16" s="2">
        <f>VLOOKUP($AD16,'Equipment &amp; Troop Q'!$F$3:$I$30,3,FALSE)</f>
        <v>0</v>
      </c>
      <c r="AG16" s="2">
        <f>VLOOKUP($AD16,'Equipment &amp; Troop Q'!$F$3:$I$30,4,FALSE)</f>
        <v>0</v>
      </c>
      <c r="AH16" s="2" t="s">
        <v>101</v>
      </c>
      <c r="AI16" s="2">
        <f>VLOOKUP($AH16,'Equipment &amp; Troop Q'!$F$3:$I$30,2,FALSE)</f>
        <v>0</v>
      </c>
      <c r="AJ16" s="2">
        <f>VLOOKUP($AH16,'Equipment &amp; Troop Q'!$F$3:$I$30,3,FALSE)</f>
        <v>0</v>
      </c>
      <c r="AK16" s="2">
        <f>VLOOKUP($AH16,'Equipment &amp; Troop Q'!$F$3:$I$30,4,FALSE)</f>
        <v>0</v>
      </c>
    </row>
    <row r="17" spans="1:37" x14ac:dyDescent="0.2">
      <c r="A17" s="5" t="s">
        <v>101</v>
      </c>
      <c r="B17" s="43">
        <f>((((VLOOKUP($A17,'TL0-5 Elements'!$A$2:$I$53,2,FALSE))*K17)*L17)*(1+O17+S17+W17+AA17+AE17+AI17))*M17</f>
        <v>0</v>
      </c>
      <c r="C17" s="43" t="str">
        <f>VLOOKUP($A17,'TL0-5 Elements'!$A$2:$I$53,3,FALSE)</f>
        <v>-</v>
      </c>
      <c r="D17" s="43">
        <f t="shared" si="0"/>
        <v>0</v>
      </c>
      <c r="E17" s="43" t="str">
        <f>VLOOKUP($A17,'TL0-5 Elements'!$A$2:$I$53,4,FALSE)</f>
        <v>-</v>
      </c>
      <c r="F17" s="43" t="str">
        <f>VLOOKUP($A17,'TL0-5 Elements'!$A$2:$I$53,5,FALSE)</f>
        <v>-</v>
      </c>
      <c r="G17" s="43" t="str">
        <f>VLOOKUP($A17,'TL0-5 Elements'!$A$2:$I$53,6,FALSE)</f>
        <v>-</v>
      </c>
      <c r="H17" s="45">
        <f>(((VLOOKUP($A17,'TL0-5 Elements'!$A$2:$I$53,7,FALSE))*L17)*(1+P17+T17+X17+AB17+AF17+AJ17))*M17</f>
        <v>0</v>
      </c>
      <c r="I17" s="45">
        <f>(((VLOOKUP($A17,'TL0-5 Elements'!$A$2:$I$53,8,FALSE))*L17)*(1+Q17+U17+Y17+AC17+AG17+AK17))*M17</f>
        <v>0</v>
      </c>
      <c r="J17" s="43">
        <f>VLOOKUP(A17,'TL0-5 Elements'!$A$2:$I$53,9,FALSE)</f>
        <v>0</v>
      </c>
      <c r="K17" s="2">
        <f>IF(VLOOKUP($A17,'TL0-5 Elements'!$A$2:$I$53,9,FALSE)-$J17=0,1,IF(VLOOKUP($A17,'TL0-5 Elements'!$A$2:$I$53,9,FALSE)-$J17=-1,2,IF(VLOOKUP($A17,'TL0-5 Elements'!$A$2:$I$53,9,FALSE)-$J17=-2,4,IF(VLOOKUP($A17,'TL0-5 Elements'!$A$2:$I$53,9,FALSE)-$J17=-3,8,IF(VLOOKUP($A17,'TL0-5 Elements'!$A$2:$I$53,9,FALSE)-$J17=-4,16,"Invalid")))))</f>
        <v>1</v>
      </c>
      <c r="L17" s="10">
        <v>1</v>
      </c>
      <c r="M17" s="44">
        <v>1</v>
      </c>
      <c r="N17" s="10" t="s">
        <v>138</v>
      </c>
      <c r="O17" s="10">
        <f>VLOOKUP(N17,'Equipment &amp; Troop Q'!$A$3:$D$7,2,FALSE)</f>
        <v>0</v>
      </c>
      <c r="P17" s="10">
        <f>VLOOKUP($N17,'Equipment &amp; Troop Q'!$A$3:$D$7,3,FALSE)</f>
        <v>0</v>
      </c>
      <c r="Q17" s="10">
        <f>VLOOKUP($N17,'Equipment &amp; Troop Q'!$A$3:$D$7,4,FALSE)</f>
        <v>0</v>
      </c>
      <c r="R17" s="10" t="s">
        <v>141</v>
      </c>
      <c r="S17" s="42">
        <f>VLOOKUP($R17,'Equipment &amp; Troop Q'!$A$13:$D$16,2,FALSE)</f>
        <v>0</v>
      </c>
      <c r="T17" s="42">
        <f>IF(OR(V17="Fanatic",Z17="Fanatic",AD17="Fanatic",AH17="Fanatic"),VLOOKUP($R17,'Equipment &amp; Troop Q'!$A$18:$D$19,3,FALSE),VLOOKUP($R17,'Equipment &amp; Troop Q'!$A$13:$D$16,3,FALSE))</f>
        <v>0</v>
      </c>
      <c r="U17" s="2">
        <f>VLOOKUP($R17,'Equipment &amp; Troop Q'!$A$13:$D$16,4,FALSE)</f>
        <v>0</v>
      </c>
      <c r="V17" s="2" t="s">
        <v>101</v>
      </c>
      <c r="W17" s="2">
        <f>VLOOKUP($V17,'Equipment &amp; Troop Q'!$F$3:$I$30,2,FALSE)</f>
        <v>0</v>
      </c>
      <c r="X17" s="2">
        <f>VLOOKUP($V17,'Equipment &amp; Troop Q'!$F$3:$I$30,3,FALSE)</f>
        <v>0</v>
      </c>
      <c r="Y17" s="2">
        <f>VLOOKUP($V17,'Equipment &amp; Troop Q'!$F$3:$I$30,4,FALSE)</f>
        <v>0</v>
      </c>
      <c r="Z17" s="2" t="s">
        <v>101</v>
      </c>
      <c r="AA17" s="2">
        <f>VLOOKUP($Z17,'Equipment &amp; Troop Q'!$F$3:$I$30,2,FALSE)</f>
        <v>0</v>
      </c>
      <c r="AB17" s="2">
        <f>VLOOKUP($Z17,'Equipment &amp; Troop Q'!$F$3:$I$30,3,FALSE)</f>
        <v>0</v>
      </c>
      <c r="AC17" s="2">
        <f>VLOOKUP($Z17,'Equipment &amp; Troop Q'!$F$3:$I$30,4,FALSE)</f>
        <v>0</v>
      </c>
      <c r="AD17" s="2" t="s">
        <v>101</v>
      </c>
      <c r="AE17" s="2">
        <f>VLOOKUP($AD17,'Equipment &amp; Troop Q'!$F$3:$I$30,2,FALSE)</f>
        <v>0</v>
      </c>
      <c r="AF17" s="2">
        <f>VLOOKUP($AD17,'Equipment &amp; Troop Q'!$F$3:$I$30,3,FALSE)</f>
        <v>0</v>
      </c>
      <c r="AG17" s="2">
        <f>VLOOKUP($AD17,'Equipment &amp; Troop Q'!$F$3:$I$30,4,FALSE)</f>
        <v>0</v>
      </c>
      <c r="AH17" s="2" t="s">
        <v>101</v>
      </c>
      <c r="AI17" s="2">
        <f>VLOOKUP($AH17,'Equipment &amp; Troop Q'!$F$3:$I$30,2,FALSE)</f>
        <v>0</v>
      </c>
      <c r="AJ17" s="2">
        <f>VLOOKUP($AH17,'Equipment &amp; Troop Q'!$F$3:$I$30,3,FALSE)</f>
        <v>0</v>
      </c>
      <c r="AK17" s="2">
        <f>VLOOKUP($AH17,'Equipment &amp; Troop Q'!$F$3:$I$30,4,FALSE)</f>
        <v>0</v>
      </c>
    </row>
    <row r="18" spans="1:37" x14ac:dyDescent="0.2">
      <c r="A18" s="5" t="s">
        <v>101</v>
      </c>
      <c r="B18" s="43">
        <f>((((VLOOKUP($A18,'TL0-5 Elements'!$A$2:$I$53,2,FALSE))*K18)*L18)*(1+O18+S18+W18+AA18+AE18+AI18))*M18</f>
        <v>0</v>
      </c>
      <c r="C18" s="43" t="str">
        <f>VLOOKUP($A18,'TL0-5 Elements'!$A$2:$I$53,3,FALSE)</f>
        <v>-</v>
      </c>
      <c r="D18" s="43">
        <f t="shared" si="0"/>
        <v>0</v>
      </c>
      <c r="E18" s="43" t="str">
        <f>VLOOKUP($A18,'TL0-5 Elements'!$A$2:$I$53,4,FALSE)</f>
        <v>-</v>
      </c>
      <c r="F18" s="43" t="str">
        <f>VLOOKUP($A18,'TL0-5 Elements'!$A$2:$I$53,5,FALSE)</f>
        <v>-</v>
      </c>
      <c r="G18" s="43" t="str">
        <f>VLOOKUP($A18,'TL0-5 Elements'!$A$2:$I$53,6,FALSE)</f>
        <v>-</v>
      </c>
      <c r="H18" s="45">
        <f>(((VLOOKUP($A18,'TL0-5 Elements'!$A$2:$I$53,7,FALSE))*L18)*(1+P18+T18+X18+AB18+AF18+AJ18))*M18</f>
        <v>0</v>
      </c>
      <c r="I18" s="45">
        <f>(((VLOOKUP($A18,'TL0-5 Elements'!$A$2:$I$53,8,FALSE))*L18)*(1+Q18+U18+Y18+AC18+AG18+AK18))*M18</f>
        <v>0</v>
      </c>
      <c r="J18" s="43">
        <f>VLOOKUP(A18,'TL0-5 Elements'!$A$2:$I$53,9,FALSE)</f>
        <v>0</v>
      </c>
      <c r="K18" s="2">
        <f>IF(VLOOKUP($A18,'TL0-5 Elements'!$A$2:$I$53,9,FALSE)-$J18=0,1,IF(VLOOKUP($A18,'TL0-5 Elements'!$A$2:$I$53,9,FALSE)-$J18=-1,2,IF(VLOOKUP($A18,'TL0-5 Elements'!$A$2:$I$53,9,FALSE)-$J18=-2,4,IF(VLOOKUP($A18,'TL0-5 Elements'!$A$2:$I$53,9,FALSE)-$J18=-3,8,IF(VLOOKUP($A18,'TL0-5 Elements'!$A$2:$I$53,9,FALSE)-$J18=-4,16,"Invalid")))))</f>
        <v>1</v>
      </c>
      <c r="L18" s="10">
        <v>1</v>
      </c>
      <c r="M18" s="44">
        <v>1</v>
      </c>
      <c r="N18" s="10" t="s">
        <v>138</v>
      </c>
      <c r="O18" s="10">
        <f>VLOOKUP(N18,'Equipment &amp; Troop Q'!$A$3:$D$7,2,FALSE)</f>
        <v>0</v>
      </c>
      <c r="P18" s="10">
        <f>VLOOKUP($N18,'Equipment &amp; Troop Q'!$A$3:$D$7,3,FALSE)</f>
        <v>0</v>
      </c>
      <c r="Q18" s="10">
        <f>VLOOKUP($N18,'Equipment &amp; Troop Q'!$A$3:$D$7,4,FALSE)</f>
        <v>0</v>
      </c>
      <c r="R18" s="10" t="s">
        <v>141</v>
      </c>
      <c r="S18" s="42">
        <f>VLOOKUP($R18,'Equipment &amp; Troop Q'!$A$13:$D$16,2,FALSE)</f>
        <v>0</v>
      </c>
      <c r="T18" s="42">
        <f>IF(OR(V18="Fanatic",Z18="Fanatic",AD18="Fanatic",AH18="Fanatic"),VLOOKUP($R18,'Equipment &amp; Troop Q'!$A$18:$D$19,3,FALSE),VLOOKUP($R18,'Equipment &amp; Troop Q'!$A$13:$D$16,3,FALSE))</f>
        <v>0</v>
      </c>
      <c r="U18" s="2">
        <f>VLOOKUP($R18,'Equipment &amp; Troop Q'!$A$13:$D$16,4,FALSE)</f>
        <v>0</v>
      </c>
      <c r="V18" s="2" t="s">
        <v>101</v>
      </c>
      <c r="W18" s="2">
        <f>VLOOKUP($V18,'Equipment &amp; Troop Q'!$F$3:$I$30,2,FALSE)</f>
        <v>0</v>
      </c>
      <c r="X18" s="2">
        <f>VLOOKUP($V18,'Equipment &amp; Troop Q'!$F$3:$I$30,3,FALSE)</f>
        <v>0</v>
      </c>
      <c r="Y18" s="2">
        <f>VLOOKUP($V18,'Equipment &amp; Troop Q'!$F$3:$I$30,4,FALSE)</f>
        <v>0</v>
      </c>
      <c r="Z18" s="2" t="s">
        <v>101</v>
      </c>
      <c r="AA18" s="2">
        <f>VLOOKUP($Z18,'Equipment &amp; Troop Q'!$F$3:$I$30,2,FALSE)</f>
        <v>0</v>
      </c>
      <c r="AB18" s="2">
        <f>VLOOKUP($Z18,'Equipment &amp; Troop Q'!$F$3:$I$30,3,FALSE)</f>
        <v>0</v>
      </c>
      <c r="AC18" s="2">
        <f>VLOOKUP($Z18,'Equipment &amp; Troop Q'!$F$3:$I$30,4,FALSE)</f>
        <v>0</v>
      </c>
      <c r="AD18" s="2" t="s">
        <v>101</v>
      </c>
      <c r="AE18" s="2">
        <f>VLOOKUP($AD18,'Equipment &amp; Troop Q'!$F$3:$I$30,2,FALSE)</f>
        <v>0</v>
      </c>
      <c r="AF18" s="2">
        <f>VLOOKUP($AD18,'Equipment &amp; Troop Q'!$F$3:$I$30,3,FALSE)</f>
        <v>0</v>
      </c>
      <c r="AG18" s="2">
        <f>VLOOKUP($AD18,'Equipment &amp; Troop Q'!$F$3:$I$30,4,FALSE)</f>
        <v>0</v>
      </c>
      <c r="AH18" s="2" t="s">
        <v>101</v>
      </c>
      <c r="AI18" s="2">
        <f>VLOOKUP($AH18,'Equipment &amp; Troop Q'!$F$3:$I$30,2,FALSE)</f>
        <v>0</v>
      </c>
      <c r="AJ18" s="2">
        <f>VLOOKUP($AH18,'Equipment &amp; Troop Q'!$F$3:$I$30,3,FALSE)</f>
        <v>0</v>
      </c>
      <c r="AK18" s="2">
        <f>VLOOKUP($AH18,'Equipment &amp; Troop Q'!$F$3:$I$30,4,FALSE)</f>
        <v>0</v>
      </c>
    </row>
    <row r="19" spans="1:37" x14ac:dyDescent="0.2">
      <c r="A19" s="5" t="s">
        <v>101</v>
      </c>
      <c r="B19" s="43">
        <f>((((VLOOKUP($A19,'TL0-5 Elements'!$A$2:$I$53,2,FALSE))*K19)*L19)*(1+O19+S19+W19+AA19+AE19+AI19))*M19</f>
        <v>0</v>
      </c>
      <c r="C19" s="43" t="str">
        <f>VLOOKUP($A19,'TL0-5 Elements'!$A$2:$I$53,3,FALSE)</f>
        <v>-</v>
      </c>
      <c r="D19" s="43">
        <f t="shared" si="0"/>
        <v>0</v>
      </c>
      <c r="E19" s="43" t="str">
        <f>VLOOKUP($A19,'TL0-5 Elements'!$A$2:$I$53,4,FALSE)</f>
        <v>-</v>
      </c>
      <c r="F19" s="43" t="str">
        <f>VLOOKUP($A19,'TL0-5 Elements'!$A$2:$I$53,5,FALSE)</f>
        <v>-</v>
      </c>
      <c r="G19" s="43" t="str">
        <f>VLOOKUP($A19,'TL0-5 Elements'!$A$2:$I$53,6,FALSE)</f>
        <v>-</v>
      </c>
      <c r="H19" s="45">
        <f>(((VLOOKUP($A19,'TL0-5 Elements'!$A$2:$I$53,7,FALSE))*L19)*(1+P19+T19+X19+AB19+AF19+AJ19))*M19</f>
        <v>0</v>
      </c>
      <c r="I19" s="45">
        <f>(((VLOOKUP($A19,'TL0-5 Elements'!$A$2:$I$53,8,FALSE))*L19)*(1+Q19+U19+Y19+AC19+AG19+AK19))*M19</f>
        <v>0</v>
      </c>
      <c r="J19" s="43">
        <f>VLOOKUP(A19,'TL0-5 Elements'!$A$2:$I$53,9,FALSE)</f>
        <v>0</v>
      </c>
      <c r="K19" s="2">
        <f>IF(VLOOKUP($A19,'TL0-5 Elements'!$A$2:$I$53,9,FALSE)-$J19=0,1,IF(VLOOKUP($A19,'TL0-5 Elements'!$A$2:$I$53,9,FALSE)-$J19=-1,2,IF(VLOOKUP($A19,'TL0-5 Elements'!$A$2:$I$53,9,FALSE)-$J19=-2,4,IF(VLOOKUP($A19,'TL0-5 Elements'!$A$2:$I$53,9,FALSE)-$J19=-3,8,IF(VLOOKUP($A19,'TL0-5 Elements'!$A$2:$I$53,9,FALSE)-$J19=-4,16,"Invalid")))))</f>
        <v>1</v>
      </c>
      <c r="L19" s="10">
        <v>1</v>
      </c>
      <c r="M19" s="44">
        <v>1</v>
      </c>
      <c r="N19" s="10" t="s">
        <v>138</v>
      </c>
      <c r="O19" s="10">
        <f>VLOOKUP(N19,'Equipment &amp; Troop Q'!$A$3:$D$7,2,FALSE)</f>
        <v>0</v>
      </c>
      <c r="P19" s="10">
        <f>VLOOKUP($N19,'Equipment &amp; Troop Q'!$A$3:$D$7,3,FALSE)</f>
        <v>0</v>
      </c>
      <c r="Q19" s="10">
        <f>VLOOKUP($N19,'Equipment &amp; Troop Q'!$A$3:$D$7,4,FALSE)</f>
        <v>0</v>
      </c>
      <c r="R19" s="10" t="s">
        <v>141</v>
      </c>
      <c r="S19" s="42">
        <f>VLOOKUP($R19,'Equipment &amp; Troop Q'!$A$13:$D$16,2,FALSE)</f>
        <v>0</v>
      </c>
      <c r="T19" s="42">
        <f>IF(OR(V19="Fanatic",Z19="Fanatic",AD19="Fanatic",AH19="Fanatic"),VLOOKUP($R19,'Equipment &amp; Troop Q'!$A$18:$D$19,3,FALSE),VLOOKUP($R19,'Equipment &amp; Troop Q'!$A$13:$D$16,3,FALSE))</f>
        <v>0</v>
      </c>
      <c r="U19" s="2">
        <f>VLOOKUP($R19,'Equipment &amp; Troop Q'!$A$13:$D$16,4,FALSE)</f>
        <v>0</v>
      </c>
      <c r="V19" s="2" t="s">
        <v>101</v>
      </c>
      <c r="W19" s="2">
        <f>VLOOKUP($V19,'Equipment &amp; Troop Q'!$F$3:$I$30,2,FALSE)</f>
        <v>0</v>
      </c>
      <c r="X19" s="2">
        <f>VLOOKUP($V19,'Equipment &amp; Troop Q'!$F$3:$I$30,3,FALSE)</f>
        <v>0</v>
      </c>
      <c r="Y19" s="2">
        <f>VLOOKUP($V19,'Equipment &amp; Troop Q'!$F$3:$I$30,4,FALSE)</f>
        <v>0</v>
      </c>
      <c r="Z19" s="2" t="s">
        <v>101</v>
      </c>
      <c r="AA19" s="2">
        <f>VLOOKUP($Z19,'Equipment &amp; Troop Q'!$F$3:$I$30,2,FALSE)</f>
        <v>0</v>
      </c>
      <c r="AB19" s="2">
        <f>VLOOKUP($Z19,'Equipment &amp; Troop Q'!$F$3:$I$30,3,FALSE)</f>
        <v>0</v>
      </c>
      <c r="AC19" s="2">
        <f>VLOOKUP($Z19,'Equipment &amp; Troop Q'!$F$3:$I$30,4,FALSE)</f>
        <v>0</v>
      </c>
      <c r="AD19" s="2" t="s">
        <v>101</v>
      </c>
      <c r="AE19" s="2">
        <f>VLOOKUP($AD19,'Equipment &amp; Troop Q'!$F$3:$I$30,2,FALSE)</f>
        <v>0</v>
      </c>
      <c r="AF19" s="2">
        <f>VLOOKUP($AD19,'Equipment &amp; Troop Q'!$F$3:$I$30,3,FALSE)</f>
        <v>0</v>
      </c>
      <c r="AG19" s="2">
        <f>VLOOKUP($AD19,'Equipment &amp; Troop Q'!$F$3:$I$30,4,FALSE)</f>
        <v>0</v>
      </c>
      <c r="AH19" s="2" t="s">
        <v>101</v>
      </c>
      <c r="AI19" s="2">
        <f>VLOOKUP($AH19,'Equipment &amp; Troop Q'!$F$3:$I$30,2,FALSE)</f>
        <v>0</v>
      </c>
      <c r="AJ19" s="2">
        <f>VLOOKUP($AH19,'Equipment &amp; Troop Q'!$F$3:$I$30,3,FALSE)</f>
        <v>0</v>
      </c>
      <c r="AK19" s="2">
        <f>VLOOKUP($AH19,'Equipment &amp; Troop Q'!$F$3:$I$30,4,FALSE)</f>
        <v>0</v>
      </c>
    </row>
    <row r="20" spans="1:37" x14ac:dyDescent="0.2">
      <c r="A20" s="5" t="s">
        <v>101</v>
      </c>
      <c r="B20" s="43">
        <f>((((VLOOKUP($A20,'TL0-5 Elements'!$A$2:$I$53,2,FALSE))*K20)*L20)*(1+O20+S20+W20+AA20+AE20+AI20))*M20</f>
        <v>0</v>
      </c>
      <c r="C20" s="43" t="str">
        <f>VLOOKUP($A20,'TL0-5 Elements'!$A$2:$I$53,3,FALSE)</f>
        <v>-</v>
      </c>
      <c r="D20" s="43">
        <f t="shared" si="0"/>
        <v>0</v>
      </c>
      <c r="E20" s="43" t="str">
        <f>VLOOKUP($A20,'TL0-5 Elements'!$A$2:$I$53,4,FALSE)</f>
        <v>-</v>
      </c>
      <c r="F20" s="43" t="str">
        <f>VLOOKUP($A20,'TL0-5 Elements'!$A$2:$I$53,5,FALSE)</f>
        <v>-</v>
      </c>
      <c r="G20" s="43" t="str">
        <f>VLOOKUP($A20,'TL0-5 Elements'!$A$2:$I$53,6,FALSE)</f>
        <v>-</v>
      </c>
      <c r="H20" s="45">
        <f>(((VLOOKUP($A20,'TL0-5 Elements'!$A$2:$I$53,7,FALSE))*L20)*(1+P20+T20+X20+AB20+AF20+AJ20))*M20</f>
        <v>0</v>
      </c>
      <c r="I20" s="45">
        <f>(((VLOOKUP($A20,'TL0-5 Elements'!$A$2:$I$53,8,FALSE))*L20)*(1+Q20+U20+Y20+AC20+AG20+AK20))*M20</f>
        <v>0</v>
      </c>
      <c r="J20" s="43">
        <f>VLOOKUP(A20,'TL0-5 Elements'!$A$2:$I$53,9,FALSE)</f>
        <v>0</v>
      </c>
      <c r="K20" s="2">
        <f>IF(VLOOKUP($A20,'TL0-5 Elements'!$A$2:$I$53,9,FALSE)-$J20=0,1,IF(VLOOKUP($A20,'TL0-5 Elements'!$A$2:$I$53,9,FALSE)-$J20=-1,2,IF(VLOOKUP($A20,'TL0-5 Elements'!$A$2:$I$53,9,FALSE)-$J20=-2,4,IF(VLOOKUP($A20,'TL0-5 Elements'!$A$2:$I$53,9,FALSE)-$J20=-3,8,IF(VLOOKUP($A20,'TL0-5 Elements'!$A$2:$I$53,9,FALSE)-$J20=-4,16,"Invalid")))))</f>
        <v>1</v>
      </c>
      <c r="L20" s="10">
        <v>1</v>
      </c>
      <c r="M20" s="44">
        <v>1</v>
      </c>
      <c r="N20" s="10" t="s">
        <v>138</v>
      </c>
      <c r="O20" s="10">
        <f>VLOOKUP(N20,'Equipment &amp; Troop Q'!$A$3:$D$7,2,FALSE)</f>
        <v>0</v>
      </c>
      <c r="P20" s="10">
        <f>VLOOKUP($N20,'Equipment &amp; Troop Q'!$A$3:$D$7,3,FALSE)</f>
        <v>0</v>
      </c>
      <c r="Q20" s="10">
        <f>VLOOKUP($N20,'Equipment &amp; Troop Q'!$A$3:$D$7,4,FALSE)</f>
        <v>0</v>
      </c>
      <c r="R20" s="10" t="s">
        <v>141</v>
      </c>
      <c r="S20" s="42">
        <f>VLOOKUP($R20,'Equipment &amp; Troop Q'!$A$13:$D$16,2,FALSE)</f>
        <v>0</v>
      </c>
      <c r="T20" s="42">
        <f>IF(OR(V20="Fanatic",Z20="Fanatic",AD20="Fanatic",AH20="Fanatic"),VLOOKUP($R20,'Equipment &amp; Troop Q'!$A$18:$D$19,3,FALSE),VLOOKUP($R20,'Equipment &amp; Troop Q'!$A$13:$D$16,3,FALSE))</f>
        <v>0</v>
      </c>
      <c r="U20" s="2">
        <f>VLOOKUP($R20,'Equipment &amp; Troop Q'!$A$13:$D$16,4,FALSE)</f>
        <v>0</v>
      </c>
      <c r="V20" s="2" t="s">
        <v>101</v>
      </c>
      <c r="W20" s="2">
        <f>VLOOKUP($V20,'Equipment &amp; Troop Q'!$F$3:$I$30,2,FALSE)</f>
        <v>0</v>
      </c>
      <c r="X20" s="2">
        <f>VLOOKUP($V20,'Equipment &amp; Troop Q'!$F$3:$I$30,3,FALSE)</f>
        <v>0</v>
      </c>
      <c r="Y20" s="2">
        <f>VLOOKUP($V20,'Equipment &amp; Troop Q'!$F$3:$I$30,4,FALSE)</f>
        <v>0</v>
      </c>
      <c r="Z20" s="2" t="s">
        <v>101</v>
      </c>
      <c r="AA20" s="2">
        <f>VLOOKUP($Z20,'Equipment &amp; Troop Q'!$F$3:$I$30,2,FALSE)</f>
        <v>0</v>
      </c>
      <c r="AB20" s="2">
        <f>VLOOKUP($Z20,'Equipment &amp; Troop Q'!$F$3:$I$30,3,FALSE)</f>
        <v>0</v>
      </c>
      <c r="AC20" s="2">
        <f>VLOOKUP($Z20,'Equipment &amp; Troop Q'!$F$3:$I$30,4,FALSE)</f>
        <v>0</v>
      </c>
      <c r="AD20" s="2" t="s">
        <v>101</v>
      </c>
      <c r="AE20" s="2">
        <f>VLOOKUP($AD20,'Equipment &amp; Troop Q'!$F$3:$I$30,2,FALSE)</f>
        <v>0</v>
      </c>
      <c r="AF20" s="2">
        <f>VLOOKUP($AD20,'Equipment &amp; Troop Q'!$F$3:$I$30,3,FALSE)</f>
        <v>0</v>
      </c>
      <c r="AG20" s="2">
        <f>VLOOKUP($AD20,'Equipment &amp; Troop Q'!$F$3:$I$30,4,FALSE)</f>
        <v>0</v>
      </c>
      <c r="AH20" s="2" t="s">
        <v>101</v>
      </c>
      <c r="AI20" s="2">
        <f>VLOOKUP($AH20,'Equipment &amp; Troop Q'!$F$3:$I$30,2,FALSE)</f>
        <v>0</v>
      </c>
      <c r="AJ20" s="2">
        <f>VLOOKUP($AH20,'Equipment &amp; Troop Q'!$F$3:$I$30,3,FALSE)</f>
        <v>0</v>
      </c>
      <c r="AK20" s="2">
        <f>VLOOKUP($AH20,'Equipment &amp; Troop Q'!$F$3:$I$30,4,FALSE)</f>
        <v>0</v>
      </c>
    </row>
    <row r="21" spans="1:37" x14ac:dyDescent="0.2">
      <c r="A21" s="5" t="s">
        <v>101</v>
      </c>
      <c r="B21" s="43">
        <f>((((VLOOKUP($A21,'TL0-5 Elements'!$A$2:$I$53,2,FALSE))*K21)*L21)*(1+O21+S21+W21+AA21+AE21+AI21))*M21</f>
        <v>0</v>
      </c>
      <c r="C21" s="43" t="str">
        <f>VLOOKUP($A21,'TL0-5 Elements'!$A$2:$I$53,3,FALSE)</f>
        <v>-</v>
      </c>
      <c r="D21" s="43">
        <f t="shared" si="0"/>
        <v>0</v>
      </c>
      <c r="E21" s="43" t="str">
        <f>VLOOKUP($A21,'TL0-5 Elements'!$A$2:$I$53,4,FALSE)</f>
        <v>-</v>
      </c>
      <c r="F21" s="43" t="str">
        <f>VLOOKUP($A21,'TL0-5 Elements'!$A$2:$I$53,5,FALSE)</f>
        <v>-</v>
      </c>
      <c r="G21" s="43" t="str">
        <f>VLOOKUP($A21,'TL0-5 Elements'!$A$2:$I$53,6,FALSE)</f>
        <v>-</v>
      </c>
      <c r="H21" s="45">
        <f>(((VLOOKUP($A21,'TL0-5 Elements'!$A$2:$I$53,7,FALSE))*L21)*(1+P21+T21+X21+AB21+AF21+AJ21))*M21</f>
        <v>0</v>
      </c>
      <c r="I21" s="45">
        <f>(((VLOOKUP($A21,'TL0-5 Elements'!$A$2:$I$53,8,FALSE))*L21)*(1+Q21+U21+Y21+AC21+AG21+AK21))*M21</f>
        <v>0</v>
      </c>
      <c r="J21" s="43">
        <f>VLOOKUP(A21,'TL0-5 Elements'!$A$2:$I$53,9,FALSE)</f>
        <v>0</v>
      </c>
      <c r="K21" s="2">
        <f>IF(VLOOKUP($A21,'TL0-5 Elements'!$A$2:$I$53,9,FALSE)-$J21=0,1,IF(VLOOKUP($A21,'TL0-5 Elements'!$A$2:$I$53,9,FALSE)-$J21=-1,2,IF(VLOOKUP($A21,'TL0-5 Elements'!$A$2:$I$53,9,FALSE)-$J21=-2,4,IF(VLOOKUP($A21,'TL0-5 Elements'!$A$2:$I$53,9,FALSE)-$J21=-3,8,IF(VLOOKUP($A21,'TL0-5 Elements'!$A$2:$I$53,9,FALSE)-$J21=-4,16,"Invalid")))))</f>
        <v>1</v>
      </c>
      <c r="L21" s="10">
        <v>1</v>
      </c>
      <c r="M21" s="44">
        <v>1</v>
      </c>
      <c r="N21" s="10" t="s">
        <v>138</v>
      </c>
      <c r="O21" s="10">
        <f>VLOOKUP(N21,'Equipment &amp; Troop Q'!$A$3:$D$7,2,FALSE)</f>
        <v>0</v>
      </c>
      <c r="P21" s="10">
        <f>VLOOKUP($N21,'Equipment &amp; Troop Q'!$A$3:$D$7,3,FALSE)</f>
        <v>0</v>
      </c>
      <c r="Q21" s="10">
        <f>VLOOKUP($N21,'Equipment &amp; Troop Q'!$A$3:$D$7,4,FALSE)</f>
        <v>0</v>
      </c>
      <c r="R21" s="10" t="s">
        <v>141</v>
      </c>
      <c r="S21" s="42">
        <f>VLOOKUP($R21,'Equipment &amp; Troop Q'!$A$13:$D$16,2,FALSE)</f>
        <v>0</v>
      </c>
      <c r="T21" s="42">
        <f>IF(OR(V21="Fanatic",Z21="Fanatic",AD21="Fanatic",AH21="Fanatic"),VLOOKUP($R21,'Equipment &amp; Troop Q'!$A$18:$D$19,3,FALSE),VLOOKUP($R21,'Equipment &amp; Troop Q'!$A$13:$D$16,3,FALSE))</f>
        <v>0</v>
      </c>
      <c r="U21" s="2">
        <f>VLOOKUP($R21,'Equipment &amp; Troop Q'!$A$13:$D$16,4,FALSE)</f>
        <v>0</v>
      </c>
      <c r="V21" s="2" t="s">
        <v>101</v>
      </c>
      <c r="W21" s="2">
        <f>VLOOKUP($V21,'Equipment &amp; Troop Q'!$F$3:$I$30,2,FALSE)</f>
        <v>0</v>
      </c>
      <c r="X21" s="2">
        <f>VLOOKUP($V21,'Equipment &amp; Troop Q'!$F$3:$I$30,3,FALSE)</f>
        <v>0</v>
      </c>
      <c r="Y21" s="2">
        <f>VLOOKUP($V21,'Equipment &amp; Troop Q'!$F$3:$I$30,4,FALSE)</f>
        <v>0</v>
      </c>
      <c r="Z21" s="2" t="s">
        <v>101</v>
      </c>
      <c r="AA21" s="2">
        <f>VLOOKUP($Z21,'Equipment &amp; Troop Q'!$F$3:$I$30,2,FALSE)</f>
        <v>0</v>
      </c>
      <c r="AB21" s="2">
        <f>VLOOKUP($Z21,'Equipment &amp; Troop Q'!$F$3:$I$30,3,FALSE)</f>
        <v>0</v>
      </c>
      <c r="AC21" s="2">
        <f>VLOOKUP($Z21,'Equipment &amp; Troop Q'!$F$3:$I$30,4,FALSE)</f>
        <v>0</v>
      </c>
      <c r="AD21" s="2" t="s">
        <v>101</v>
      </c>
      <c r="AE21" s="2">
        <f>VLOOKUP($AD21,'Equipment &amp; Troop Q'!$F$3:$I$30,2,FALSE)</f>
        <v>0</v>
      </c>
      <c r="AF21" s="2">
        <f>VLOOKUP($AD21,'Equipment &amp; Troop Q'!$F$3:$I$30,3,FALSE)</f>
        <v>0</v>
      </c>
      <c r="AG21" s="2">
        <f>VLOOKUP($AD21,'Equipment &amp; Troop Q'!$F$3:$I$30,4,FALSE)</f>
        <v>0</v>
      </c>
      <c r="AH21" s="2" t="s">
        <v>101</v>
      </c>
      <c r="AI21" s="2">
        <f>VLOOKUP($AH21,'Equipment &amp; Troop Q'!$F$3:$I$30,2,FALSE)</f>
        <v>0</v>
      </c>
      <c r="AJ21" s="2">
        <f>VLOOKUP($AH21,'Equipment &amp; Troop Q'!$F$3:$I$30,3,FALSE)</f>
        <v>0</v>
      </c>
      <c r="AK21" s="2">
        <f>VLOOKUP($AH21,'Equipment &amp; Troop Q'!$F$3:$I$30,4,FALSE)</f>
        <v>0</v>
      </c>
    </row>
    <row r="22" spans="1:37" x14ac:dyDescent="0.2">
      <c r="A22" s="5" t="s">
        <v>101</v>
      </c>
      <c r="B22" s="43">
        <f>((((VLOOKUP($A22,'TL0-5 Elements'!$A$2:$I$53,2,FALSE))*K22)*L22)*(1+O22+S22+W22+AA22+AE22+AI22))*M22</f>
        <v>0</v>
      </c>
      <c r="C22" s="43" t="str">
        <f>VLOOKUP($A22,'TL0-5 Elements'!$A$2:$I$53,3,FALSE)</f>
        <v>-</v>
      </c>
      <c r="D22" s="43">
        <f t="shared" si="0"/>
        <v>0</v>
      </c>
      <c r="E22" s="43" t="str">
        <f>VLOOKUP($A22,'TL0-5 Elements'!$A$2:$I$53,4,FALSE)</f>
        <v>-</v>
      </c>
      <c r="F22" s="43" t="str">
        <f>VLOOKUP($A22,'TL0-5 Elements'!$A$2:$I$53,5,FALSE)</f>
        <v>-</v>
      </c>
      <c r="G22" s="43" t="str">
        <f>VLOOKUP($A22,'TL0-5 Elements'!$A$2:$I$53,6,FALSE)</f>
        <v>-</v>
      </c>
      <c r="H22" s="45">
        <f>(((VLOOKUP($A22,'TL0-5 Elements'!$A$2:$I$53,7,FALSE))*L22)*(1+P22+T22+X22+AB22+AF22+AJ22))*M22</f>
        <v>0</v>
      </c>
      <c r="I22" s="45">
        <f>(((VLOOKUP($A22,'TL0-5 Elements'!$A$2:$I$53,8,FALSE))*L22)*(1+Q22+U22+Y22+AC22+AG22+AK22))*M22</f>
        <v>0</v>
      </c>
      <c r="J22" s="43">
        <f>VLOOKUP(A22,'TL0-5 Elements'!$A$2:$I$53,9,FALSE)</f>
        <v>0</v>
      </c>
      <c r="K22" s="2">
        <f>IF(VLOOKUP($A22,'TL0-5 Elements'!$A$2:$I$53,9,FALSE)-$J22=0,1,IF(VLOOKUP($A22,'TL0-5 Elements'!$A$2:$I$53,9,FALSE)-$J22=-1,2,IF(VLOOKUP($A22,'TL0-5 Elements'!$A$2:$I$53,9,FALSE)-$J22=-2,4,IF(VLOOKUP($A22,'TL0-5 Elements'!$A$2:$I$53,9,FALSE)-$J22=-3,8,IF(VLOOKUP($A22,'TL0-5 Elements'!$A$2:$I$53,9,FALSE)-$J22=-4,16,"Invalid")))))</f>
        <v>1</v>
      </c>
      <c r="L22" s="10">
        <v>1</v>
      </c>
      <c r="M22" s="44">
        <v>1</v>
      </c>
      <c r="N22" s="10" t="s">
        <v>138</v>
      </c>
      <c r="O22" s="10">
        <f>VLOOKUP(N22,'Equipment &amp; Troop Q'!$A$3:$D$7,2,FALSE)</f>
        <v>0</v>
      </c>
      <c r="P22" s="10">
        <f>VLOOKUP($N22,'Equipment &amp; Troop Q'!$A$3:$D$7,3,FALSE)</f>
        <v>0</v>
      </c>
      <c r="Q22" s="10">
        <f>VLOOKUP($N22,'Equipment &amp; Troop Q'!$A$3:$D$7,4,FALSE)</f>
        <v>0</v>
      </c>
      <c r="R22" s="10" t="s">
        <v>141</v>
      </c>
      <c r="S22" s="42">
        <f>VLOOKUP($R22,'Equipment &amp; Troop Q'!$A$13:$D$16,2,FALSE)</f>
        <v>0</v>
      </c>
      <c r="T22" s="42">
        <f>IF(OR(V22="Fanatic",Z22="Fanatic",AD22="Fanatic",AH22="Fanatic"),VLOOKUP($R22,'Equipment &amp; Troop Q'!$A$18:$D$19,3,FALSE),VLOOKUP($R22,'Equipment &amp; Troop Q'!$A$13:$D$16,3,FALSE))</f>
        <v>0</v>
      </c>
      <c r="U22" s="2">
        <f>VLOOKUP($R22,'Equipment &amp; Troop Q'!$A$13:$D$16,4,FALSE)</f>
        <v>0</v>
      </c>
      <c r="V22" s="2" t="s">
        <v>101</v>
      </c>
      <c r="W22" s="2">
        <f>VLOOKUP($V22,'Equipment &amp; Troop Q'!$F$3:$I$30,2,FALSE)</f>
        <v>0</v>
      </c>
      <c r="X22" s="2">
        <f>VLOOKUP($V22,'Equipment &amp; Troop Q'!$F$3:$I$30,3,FALSE)</f>
        <v>0</v>
      </c>
      <c r="Y22" s="2">
        <f>VLOOKUP($V22,'Equipment &amp; Troop Q'!$F$3:$I$30,4,FALSE)</f>
        <v>0</v>
      </c>
      <c r="Z22" s="2" t="s">
        <v>101</v>
      </c>
      <c r="AA22" s="2">
        <f>VLOOKUP($Z22,'Equipment &amp; Troop Q'!$F$3:$I$30,2,FALSE)</f>
        <v>0</v>
      </c>
      <c r="AB22" s="2">
        <f>VLOOKUP($Z22,'Equipment &amp; Troop Q'!$F$3:$I$30,3,FALSE)</f>
        <v>0</v>
      </c>
      <c r="AC22" s="2">
        <f>VLOOKUP($Z22,'Equipment &amp; Troop Q'!$F$3:$I$30,4,FALSE)</f>
        <v>0</v>
      </c>
      <c r="AD22" s="2" t="s">
        <v>101</v>
      </c>
      <c r="AE22" s="2">
        <f>VLOOKUP($AD22,'Equipment &amp; Troop Q'!$F$3:$I$30,2,FALSE)</f>
        <v>0</v>
      </c>
      <c r="AF22" s="2">
        <f>VLOOKUP($AD22,'Equipment &amp; Troop Q'!$F$3:$I$30,3,FALSE)</f>
        <v>0</v>
      </c>
      <c r="AG22" s="2">
        <f>VLOOKUP($AD22,'Equipment &amp; Troop Q'!$F$3:$I$30,4,FALSE)</f>
        <v>0</v>
      </c>
      <c r="AH22" s="2" t="s">
        <v>101</v>
      </c>
      <c r="AI22" s="2">
        <f>VLOOKUP($AH22,'Equipment &amp; Troop Q'!$F$3:$I$30,2,FALSE)</f>
        <v>0</v>
      </c>
      <c r="AJ22" s="2">
        <f>VLOOKUP($AH22,'Equipment &amp; Troop Q'!$F$3:$I$30,3,FALSE)</f>
        <v>0</v>
      </c>
      <c r="AK22" s="2">
        <f>VLOOKUP($AH22,'Equipment &amp; Troop Q'!$F$3:$I$30,4,FALSE)</f>
        <v>0</v>
      </c>
    </row>
    <row r="23" spans="1:37" x14ac:dyDescent="0.2">
      <c r="A23" s="5" t="s">
        <v>101</v>
      </c>
      <c r="B23" s="43">
        <f>((((VLOOKUP($A23,'TL0-5 Elements'!$A$2:$I$53,2,FALSE))*K23)*L23)*(1+O23+S23+W23+AA23+AE23+AI23))*M23</f>
        <v>0</v>
      </c>
      <c r="C23" s="43" t="str">
        <f>VLOOKUP($A23,'TL0-5 Elements'!$A$2:$I$53,3,FALSE)</f>
        <v>-</v>
      </c>
      <c r="D23" s="43">
        <f t="shared" si="0"/>
        <v>0</v>
      </c>
      <c r="E23" s="43" t="str">
        <f>VLOOKUP($A23,'TL0-5 Elements'!$A$2:$I$53,4,FALSE)</f>
        <v>-</v>
      </c>
      <c r="F23" s="43" t="str">
        <f>VLOOKUP($A23,'TL0-5 Elements'!$A$2:$I$53,5,FALSE)</f>
        <v>-</v>
      </c>
      <c r="G23" s="43" t="str">
        <f>VLOOKUP($A23,'TL0-5 Elements'!$A$2:$I$53,6,FALSE)</f>
        <v>-</v>
      </c>
      <c r="H23" s="45">
        <f>(((VLOOKUP($A23,'TL0-5 Elements'!$A$2:$I$53,7,FALSE))*L23)*(1+P23+T23+X23+AB23+AF23+AJ23))*M23</f>
        <v>0</v>
      </c>
      <c r="I23" s="45">
        <f>(((VLOOKUP($A23,'TL0-5 Elements'!$A$2:$I$53,8,FALSE))*L23)*(1+Q23+U23+Y23+AC23+AG23+AK23))*M23</f>
        <v>0</v>
      </c>
      <c r="J23" s="43">
        <f>VLOOKUP(A23,'TL0-5 Elements'!$A$2:$I$53,9,FALSE)</f>
        <v>0</v>
      </c>
      <c r="K23" s="2">
        <f>IF(VLOOKUP($A23,'TL0-5 Elements'!$A$2:$I$53,9,FALSE)-$J23=0,1,IF(VLOOKUP($A23,'TL0-5 Elements'!$A$2:$I$53,9,FALSE)-$J23=-1,2,IF(VLOOKUP($A23,'TL0-5 Elements'!$A$2:$I$53,9,FALSE)-$J23=-2,4,IF(VLOOKUP($A23,'TL0-5 Elements'!$A$2:$I$53,9,FALSE)-$J23=-3,8,IF(VLOOKUP($A23,'TL0-5 Elements'!$A$2:$I$53,9,FALSE)-$J23=-4,16,"Invalid")))))</f>
        <v>1</v>
      </c>
      <c r="L23" s="10">
        <v>1</v>
      </c>
      <c r="M23" s="44">
        <v>1</v>
      </c>
      <c r="N23" s="10" t="s">
        <v>138</v>
      </c>
      <c r="O23" s="10">
        <f>VLOOKUP(N23,'Equipment &amp; Troop Q'!$A$3:$D$7,2,FALSE)</f>
        <v>0</v>
      </c>
      <c r="P23" s="10">
        <f>VLOOKUP($N23,'Equipment &amp; Troop Q'!$A$3:$D$7,3,FALSE)</f>
        <v>0</v>
      </c>
      <c r="Q23" s="10">
        <f>VLOOKUP($N23,'Equipment &amp; Troop Q'!$A$3:$D$7,4,FALSE)</f>
        <v>0</v>
      </c>
      <c r="R23" s="10" t="s">
        <v>141</v>
      </c>
      <c r="S23" s="42">
        <f>VLOOKUP($R23,'Equipment &amp; Troop Q'!$A$13:$D$16,2,FALSE)</f>
        <v>0</v>
      </c>
      <c r="T23" s="42">
        <f>IF(OR(V23="Fanatic",Z23="Fanatic",AD23="Fanatic",AH23="Fanatic"),VLOOKUP($R23,'Equipment &amp; Troop Q'!$A$18:$D$19,3,FALSE),VLOOKUP($R23,'Equipment &amp; Troop Q'!$A$13:$D$16,3,FALSE))</f>
        <v>0</v>
      </c>
      <c r="U23" s="2">
        <f>VLOOKUP($R23,'Equipment &amp; Troop Q'!$A$13:$D$16,4,FALSE)</f>
        <v>0</v>
      </c>
      <c r="V23" s="2" t="s">
        <v>101</v>
      </c>
      <c r="W23" s="2">
        <f>VLOOKUP($V23,'Equipment &amp; Troop Q'!$F$3:$I$30,2,FALSE)</f>
        <v>0</v>
      </c>
      <c r="X23" s="2">
        <f>VLOOKUP($V23,'Equipment &amp; Troop Q'!$F$3:$I$30,3,FALSE)</f>
        <v>0</v>
      </c>
      <c r="Y23" s="2">
        <f>VLOOKUP($V23,'Equipment &amp; Troop Q'!$F$3:$I$30,4,FALSE)</f>
        <v>0</v>
      </c>
      <c r="Z23" s="2" t="s">
        <v>101</v>
      </c>
      <c r="AA23" s="2">
        <f>VLOOKUP($Z23,'Equipment &amp; Troop Q'!$F$3:$I$30,2,FALSE)</f>
        <v>0</v>
      </c>
      <c r="AB23" s="2">
        <f>VLOOKUP($Z23,'Equipment &amp; Troop Q'!$F$3:$I$30,3,FALSE)</f>
        <v>0</v>
      </c>
      <c r="AC23" s="2">
        <f>VLOOKUP($Z23,'Equipment &amp; Troop Q'!$F$3:$I$30,4,FALSE)</f>
        <v>0</v>
      </c>
      <c r="AD23" s="2" t="s">
        <v>101</v>
      </c>
      <c r="AE23" s="2">
        <f>VLOOKUP($AD23,'Equipment &amp; Troop Q'!$F$3:$I$30,2,FALSE)</f>
        <v>0</v>
      </c>
      <c r="AF23" s="2">
        <f>VLOOKUP($AD23,'Equipment &amp; Troop Q'!$F$3:$I$30,3,FALSE)</f>
        <v>0</v>
      </c>
      <c r="AG23" s="2">
        <f>VLOOKUP($AD23,'Equipment &amp; Troop Q'!$F$3:$I$30,4,FALSE)</f>
        <v>0</v>
      </c>
      <c r="AH23" s="2" t="s">
        <v>101</v>
      </c>
      <c r="AI23" s="2">
        <f>VLOOKUP($AH23,'Equipment &amp; Troop Q'!$F$3:$I$30,2,FALSE)</f>
        <v>0</v>
      </c>
      <c r="AJ23" s="2">
        <f>VLOOKUP($AH23,'Equipment &amp; Troop Q'!$F$3:$I$30,3,FALSE)</f>
        <v>0</v>
      </c>
      <c r="AK23" s="2">
        <f>VLOOKUP($AH23,'Equipment &amp; Troop Q'!$F$3:$I$30,4,FALSE)</f>
        <v>0</v>
      </c>
    </row>
    <row r="24" spans="1:37" x14ac:dyDescent="0.2">
      <c r="A24" s="5" t="s">
        <v>101</v>
      </c>
      <c r="B24" s="43">
        <f>((((VLOOKUP($A24,'TL0-5 Elements'!$A$2:$I$53,2,FALSE))*K24)*L24)*(1+O24+S24+W24+AA24+AE24+AI24))*M24</f>
        <v>0</v>
      </c>
      <c r="C24" s="43" t="str">
        <f>VLOOKUP($A24,'TL0-5 Elements'!$A$2:$I$53,3,FALSE)</f>
        <v>-</v>
      </c>
      <c r="D24" s="43">
        <f t="shared" si="0"/>
        <v>0</v>
      </c>
      <c r="E24" s="43" t="str">
        <f>VLOOKUP($A24,'TL0-5 Elements'!$A$2:$I$53,4,FALSE)</f>
        <v>-</v>
      </c>
      <c r="F24" s="43" t="str">
        <f>VLOOKUP($A24,'TL0-5 Elements'!$A$2:$I$53,5,FALSE)</f>
        <v>-</v>
      </c>
      <c r="G24" s="43" t="str">
        <f>VLOOKUP($A24,'TL0-5 Elements'!$A$2:$I$53,6,FALSE)</f>
        <v>-</v>
      </c>
      <c r="H24" s="45">
        <f>(((VLOOKUP($A24,'TL0-5 Elements'!$A$2:$I$53,7,FALSE))*L24)*(1+P24+T24+X24+AB24+AF24+AJ24))*M24</f>
        <v>0</v>
      </c>
      <c r="I24" s="45">
        <f>(((VLOOKUP($A24,'TL0-5 Elements'!$A$2:$I$53,8,FALSE))*L24)*(1+Q24+U24+Y24+AC24+AG24+AK24))*M24</f>
        <v>0</v>
      </c>
      <c r="J24" s="43">
        <f>VLOOKUP(A24,'TL0-5 Elements'!$A$2:$I$53,9,FALSE)</f>
        <v>0</v>
      </c>
      <c r="K24" s="2">
        <f>IF(VLOOKUP($A24,'TL0-5 Elements'!$A$2:$I$53,9,FALSE)-$J24=0,1,IF(VLOOKUP($A24,'TL0-5 Elements'!$A$2:$I$53,9,FALSE)-$J24=-1,2,IF(VLOOKUP($A24,'TL0-5 Elements'!$A$2:$I$53,9,FALSE)-$J24=-2,4,IF(VLOOKUP($A24,'TL0-5 Elements'!$A$2:$I$53,9,FALSE)-$J24=-3,8,IF(VLOOKUP($A24,'TL0-5 Elements'!$A$2:$I$53,9,FALSE)-$J24=-4,16,"Invalid")))))</f>
        <v>1</v>
      </c>
      <c r="L24" s="10">
        <v>1</v>
      </c>
      <c r="M24" s="44">
        <v>1</v>
      </c>
      <c r="N24" s="10" t="s">
        <v>138</v>
      </c>
      <c r="O24" s="10">
        <f>VLOOKUP(N24,'Equipment &amp; Troop Q'!$A$3:$D$7,2,FALSE)</f>
        <v>0</v>
      </c>
      <c r="P24" s="10">
        <f>VLOOKUP($N24,'Equipment &amp; Troop Q'!$A$3:$D$7,3,FALSE)</f>
        <v>0</v>
      </c>
      <c r="Q24" s="10">
        <f>VLOOKUP($N24,'Equipment &amp; Troop Q'!$A$3:$D$7,4,FALSE)</f>
        <v>0</v>
      </c>
      <c r="R24" s="10" t="s">
        <v>141</v>
      </c>
      <c r="S24" s="42">
        <f>VLOOKUP($R24,'Equipment &amp; Troop Q'!$A$13:$D$16,2,FALSE)</f>
        <v>0</v>
      </c>
      <c r="T24" s="42">
        <f>IF(OR(V24="Fanatic",Z24="Fanatic",AD24="Fanatic",AH24="Fanatic"),VLOOKUP($R24,'Equipment &amp; Troop Q'!$A$18:$D$19,3,FALSE),VLOOKUP($R24,'Equipment &amp; Troop Q'!$A$13:$D$16,3,FALSE))</f>
        <v>0</v>
      </c>
      <c r="U24" s="2">
        <f>VLOOKUP($R24,'Equipment &amp; Troop Q'!$A$13:$D$16,4,FALSE)</f>
        <v>0</v>
      </c>
      <c r="V24" s="2" t="s">
        <v>101</v>
      </c>
      <c r="W24" s="2">
        <f>VLOOKUP($V24,'Equipment &amp; Troop Q'!$F$3:$I$30,2,FALSE)</f>
        <v>0</v>
      </c>
      <c r="X24" s="2">
        <f>VLOOKUP($V24,'Equipment &amp; Troop Q'!$F$3:$I$30,3,FALSE)</f>
        <v>0</v>
      </c>
      <c r="Y24" s="2">
        <f>VLOOKUP($V24,'Equipment &amp; Troop Q'!$F$3:$I$30,4,FALSE)</f>
        <v>0</v>
      </c>
      <c r="Z24" s="2" t="s">
        <v>101</v>
      </c>
      <c r="AA24" s="2">
        <f>VLOOKUP($Z24,'Equipment &amp; Troop Q'!$F$3:$I$30,2,FALSE)</f>
        <v>0</v>
      </c>
      <c r="AB24" s="2">
        <f>VLOOKUP($Z24,'Equipment &amp; Troop Q'!$F$3:$I$30,3,FALSE)</f>
        <v>0</v>
      </c>
      <c r="AC24" s="2">
        <f>VLOOKUP($Z24,'Equipment &amp; Troop Q'!$F$3:$I$30,4,FALSE)</f>
        <v>0</v>
      </c>
      <c r="AD24" s="2" t="s">
        <v>101</v>
      </c>
      <c r="AE24" s="2">
        <f>VLOOKUP($AD24,'Equipment &amp; Troop Q'!$F$3:$I$30,2,FALSE)</f>
        <v>0</v>
      </c>
      <c r="AF24" s="2">
        <f>VLOOKUP($AD24,'Equipment &amp; Troop Q'!$F$3:$I$30,3,FALSE)</f>
        <v>0</v>
      </c>
      <c r="AG24" s="2">
        <f>VLOOKUP($AD24,'Equipment &amp; Troop Q'!$F$3:$I$30,4,FALSE)</f>
        <v>0</v>
      </c>
      <c r="AH24" s="2" t="s">
        <v>101</v>
      </c>
      <c r="AI24" s="2">
        <f>VLOOKUP($AH24,'Equipment &amp; Troop Q'!$F$3:$I$30,2,FALSE)</f>
        <v>0</v>
      </c>
      <c r="AJ24" s="2">
        <f>VLOOKUP($AH24,'Equipment &amp; Troop Q'!$F$3:$I$30,3,FALSE)</f>
        <v>0</v>
      </c>
      <c r="AK24" s="2">
        <f>VLOOKUP($AH24,'Equipment &amp; Troop Q'!$F$3:$I$30,4,FALSE)</f>
        <v>0</v>
      </c>
    </row>
    <row r="25" spans="1:37" x14ac:dyDescent="0.2">
      <c r="A25" s="5" t="s">
        <v>101</v>
      </c>
      <c r="B25" s="43">
        <f>((((VLOOKUP($A25,'TL0-5 Elements'!$A$2:$I$53,2,FALSE))*K25)*L25)*(1+O25+S25+W25+AA25+AE25+AI25))*M25</f>
        <v>0</v>
      </c>
      <c r="C25" s="43" t="str">
        <f>VLOOKUP($A25,'TL0-5 Elements'!$A$2:$I$53,3,FALSE)</f>
        <v>-</v>
      </c>
      <c r="D25" s="43">
        <f t="shared" si="0"/>
        <v>0</v>
      </c>
      <c r="E25" s="43" t="str">
        <f>VLOOKUP($A25,'TL0-5 Elements'!$A$2:$I$53,4,FALSE)</f>
        <v>-</v>
      </c>
      <c r="F25" s="43" t="str">
        <f>VLOOKUP($A25,'TL0-5 Elements'!$A$2:$I$53,5,FALSE)</f>
        <v>-</v>
      </c>
      <c r="G25" s="43" t="str">
        <f>VLOOKUP($A25,'TL0-5 Elements'!$A$2:$I$53,6,FALSE)</f>
        <v>-</v>
      </c>
      <c r="H25" s="45">
        <f>(((VLOOKUP($A25,'TL0-5 Elements'!$A$2:$I$53,7,FALSE))*L25)*(1+P25+T25+X25+AB25+AF25+AJ25))*M25</f>
        <v>0</v>
      </c>
      <c r="I25" s="45">
        <f>(((VLOOKUP($A25,'TL0-5 Elements'!$A$2:$I$53,8,FALSE))*L25)*(1+Q25+U25+Y25+AC25+AG25+AK25))*M25</f>
        <v>0</v>
      </c>
      <c r="J25" s="43">
        <f>VLOOKUP(A25,'TL0-5 Elements'!$A$2:$I$53,9,FALSE)</f>
        <v>0</v>
      </c>
      <c r="K25" s="2">
        <f>IF(VLOOKUP($A25,'TL0-5 Elements'!$A$2:$I$53,9,FALSE)-$J25=0,1,IF(VLOOKUP($A25,'TL0-5 Elements'!$A$2:$I$53,9,FALSE)-$J25=-1,2,IF(VLOOKUP($A25,'TL0-5 Elements'!$A$2:$I$53,9,FALSE)-$J25=-2,4,IF(VLOOKUP($A25,'TL0-5 Elements'!$A$2:$I$53,9,FALSE)-$J25=-3,8,IF(VLOOKUP($A25,'TL0-5 Elements'!$A$2:$I$53,9,FALSE)-$J25=-4,16,"Invalid")))))</f>
        <v>1</v>
      </c>
      <c r="L25" s="10">
        <v>1</v>
      </c>
      <c r="M25" s="44">
        <v>1</v>
      </c>
      <c r="N25" s="10" t="s">
        <v>138</v>
      </c>
      <c r="O25" s="10">
        <f>VLOOKUP(N25,'Equipment &amp; Troop Q'!$A$3:$D$7,2,FALSE)</f>
        <v>0</v>
      </c>
      <c r="P25" s="10">
        <f>VLOOKUP($N25,'Equipment &amp; Troop Q'!$A$3:$D$7,3,FALSE)</f>
        <v>0</v>
      </c>
      <c r="Q25" s="10">
        <f>VLOOKUP($N25,'Equipment &amp; Troop Q'!$A$3:$D$7,4,FALSE)</f>
        <v>0</v>
      </c>
      <c r="R25" s="10" t="s">
        <v>141</v>
      </c>
      <c r="S25" s="42">
        <f>VLOOKUP($R25,'Equipment &amp; Troop Q'!$A$13:$D$16,2,FALSE)</f>
        <v>0</v>
      </c>
      <c r="T25" s="42">
        <f>IF(OR(V25="Fanatic",Z25="Fanatic",AD25="Fanatic",AH25="Fanatic"),VLOOKUP($R25,'Equipment &amp; Troop Q'!$A$18:$D$19,3,FALSE),VLOOKUP($R25,'Equipment &amp; Troop Q'!$A$13:$D$16,3,FALSE))</f>
        <v>0</v>
      </c>
      <c r="U25" s="2">
        <f>VLOOKUP($R25,'Equipment &amp; Troop Q'!$A$13:$D$16,4,FALSE)</f>
        <v>0</v>
      </c>
      <c r="V25" s="2" t="s">
        <v>101</v>
      </c>
      <c r="W25" s="2">
        <f>VLOOKUP($V25,'Equipment &amp; Troop Q'!$F$3:$I$30,2,FALSE)</f>
        <v>0</v>
      </c>
      <c r="X25" s="2">
        <f>VLOOKUP($V25,'Equipment &amp; Troop Q'!$F$3:$I$30,3,FALSE)</f>
        <v>0</v>
      </c>
      <c r="Y25" s="2">
        <f>VLOOKUP($V25,'Equipment &amp; Troop Q'!$F$3:$I$30,4,FALSE)</f>
        <v>0</v>
      </c>
      <c r="Z25" s="2" t="s">
        <v>101</v>
      </c>
      <c r="AA25" s="2">
        <f>VLOOKUP($Z25,'Equipment &amp; Troop Q'!$F$3:$I$30,2,FALSE)</f>
        <v>0</v>
      </c>
      <c r="AB25" s="2">
        <f>VLOOKUP($Z25,'Equipment &amp; Troop Q'!$F$3:$I$30,3,FALSE)</f>
        <v>0</v>
      </c>
      <c r="AC25" s="2">
        <f>VLOOKUP($Z25,'Equipment &amp; Troop Q'!$F$3:$I$30,4,FALSE)</f>
        <v>0</v>
      </c>
      <c r="AD25" s="2" t="s">
        <v>101</v>
      </c>
      <c r="AE25" s="2">
        <f>VLOOKUP($AD25,'Equipment &amp; Troop Q'!$F$3:$I$30,2,FALSE)</f>
        <v>0</v>
      </c>
      <c r="AF25" s="2">
        <f>VLOOKUP($AD25,'Equipment &amp; Troop Q'!$F$3:$I$30,3,FALSE)</f>
        <v>0</v>
      </c>
      <c r="AG25" s="2">
        <f>VLOOKUP($AD25,'Equipment &amp; Troop Q'!$F$3:$I$30,4,FALSE)</f>
        <v>0</v>
      </c>
      <c r="AH25" s="2" t="s">
        <v>101</v>
      </c>
      <c r="AI25" s="2">
        <f>VLOOKUP($AH25,'Equipment &amp; Troop Q'!$F$3:$I$30,2,FALSE)</f>
        <v>0</v>
      </c>
      <c r="AJ25" s="2">
        <f>VLOOKUP($AH25,'Equipment &amp; Troop Q'!$F$3:$I$30,3,FALSE)</f>
        <v>0</v>
      </c>
      <c r="AK25" s="2">
        <f>VLOOKUP($AH25,'Equipment &amp; Troop Q'!$F$3:$I$30,4,FALSE)</f>
        <v>0</v>
      </c>
    </row>
    <row r="26" spans="1:37" x14ac:dyDescent="0.2">
      <c r="A26" s="5" t="s">
        <v>101</v>
      </c>
      <c r="B26" s="43">
        <f>((((VLOOKUP($A26,'TL0-5 Elements'!$A$2:$I$53,2,FALSE))*K26)*L26)*(1+O26+S26+W26+AA26+AE26+AI26))*M26</f>
        <v>0</v>
      </c>
      <c r="C26" s="43" t="str">
        <f>VLOOKUP($A26,'TL0-5 Elements'!$A$2:$I$53,3,FALSE)</f>
        <v>-</v>
      </c>
      <c r="D26" s="43">
        <f t="shared" si="0"/>
        <v>0</v>
      </c>
      <c r="E26" s="43" t="str">
        <f>VLOOKUP($A26,'TL0-5 Elements'!$A$2:$I$53,4,FALSE)</f>
        <v>-</v>
      </c>
      <c r="F26" s="43" t="str">
        <f>VLOOKUP($A26,'TL0-5 Elements'!$A$2:$I$53,5,FALSE)</f>
        <v>-</v>
      </c>
      <c r="G26" s="43" t="str">
        <f>VLOOKUP($A26,'TL0-5 Elements'!$A$2:$I$53,6,FALSE)</f>
        <v>-</v>
      </c>
      <c r="H26" s="45">
        <f>(((VLOOKUP($A26,'TL0-5 Elements'!$A$2:$I$53,7,FALSE))*L26)*(1+P26+T26+X26+AB26+AF26+AJ26))*M26</f>
        <v>0</v>
      </c>
      <c r="I26" s="45">
        <f>(((VLOOKUP($A26,'TL0-5 Elements'!$A$2:$I$53,8,FALSE))*L26)*(1+Q26+U26+Y26+AC26+AG26+AK26))*M26</f>
        <v>0</v>
      </c>
      <c r="J26" s="43">
        <f>VLOOKUP(A26,'TL0-5 Elements'!$A$2:$I$53,9,FALSE)</f>
        <v>0</v>
      </c>
      <c r="K26" s="2">
        <f>IF(VLOOKUP($A26,'TL0-5 Elements'!$A$2:$I$53,9,FALSE)-$J26=0,1,IF(VLOOKUP($A26,'TL0-5 Elements'!$A$2:$I$53,9,FALSE)-$J26=-1,2,IF(VLOOKUP($A26,'TL0-5 Elements'!$A$2:$I$53,9,FALSE)-$J26=-2,4,IF(VLOOKUP($A26,'TL0-5 Elements'!$A$2:$I$53,9,FALSE)-$J26=-3,8,IF(VLOOKUP($A26,'TL0-5 Elements'!$A$2:$I$53,9,FALSE)-$J26=-4,16,"Invalid")))))</f>
        <v>1</v>
      </c>
      <c r="L26" s="10">
        <v>1</v>
      </c>
      <c r="M26" s="44">
        <v>1</v>
      </c>
      <c r="N26" s="10" t="s">
        <v>138</v>
      </c>
      <c r="O26" s="10">
        <f>VLOOKUP(N26,'Equipment &amp; Troop Q'!$A$3:$D$7,2,FALSE)</f>
        <v>0</v>
      </c>
      <c r="P26" s="10">
        <f>VLOOKUP($N26,'Equipment &amp; Troop Q'!$A$3:$D$7,3,FALSE)</f>
        <v>0</v>
      </c>
      <c r="Q26" s="10">
        <f>VLOOKUP($N26,'Equipment &amp; Troop Q'!$A$3:$D$7,4,FALSE)</f>
        <v>0</v>
      </c>
      <c r="R26" s="10" t="s">
        <v>141</v>
      </c>
      <c r="S26" s="42">
        <f>VLOOKUP($R26,'Equipment &amp; Troop Q'!$A$13:$D$16,2,FALSE)</f>
        <v>0</v>
      </c>
      <c r="T26" s="42">
        <f>IF(OR(V26="Fanatic",Z26="Fanatic",AD26="Fanatic",AH26="Fanatic"),VLOOKUP($R26,'Equipment &amp; Troop Q'!$A$18:$D$19,3,FALSE),VLOOKUP($R26,'Equipment &amp; Troop Q'!$A$13:$D$16,3,FALSE))</f>
        <v>0</v>
      </c>
      <c r="U26" s="2">
        <f>VLOOKUP($R26,'Equipment &amp; Troop Q'!$A$13:$D$16,4,FALSE)</f>
        <v>0</v>
      </c>
      <c r="V26" s="2" t="s">
        <v>101</v>
      </c>
      <c r="W26" s="2">
        <f>VLOOKUP($V26,'Equipment &amp; Troop Q'!$F$3:$I$30,2,FALSE)</f>
        <v>0</v>
      </c>
      <c r="X26" s="2">
        <f>VLOOKUP($V26,'Equipment &amp; Troop Q'!$F$3:$I$30,3,FALSE)</f>
        <v>0</v>
      </c>
      <c r="Y26" s="2">
        <f>VLOOKUP($V26,'Equipment &amp; Troop Q'!$F$3:$I$30,4,FALSE)</f>
        <v>0</v>
      </c>
      <c r="Z26" s="2" t="s">
        <v>101</v>
      </c>
      <c r="AA26" s="2">
        <f>VLOOKUP($Z26,'Equipment &amp; Troop Q'!$F$3:$I$30,2,FALSE)</f>
        <v>0</v>
      </c>
      <c r="AB26" s="2">
        <f>VLOOKUP($Z26,'Equipment &amp; Troop Q'!$F$3:$I$30,3,FALSE)</f>
        <v>0</v>
      </c>
      <c r="AC26" s="2">
        <f>VLOOKUP($Z26,'Equipment &amp; Troop Q'!$F$3:$I$30,4,FALSE)</f>
        <v>0</v>
      </c>
      <c r="AD26" s="2" t="s">
        <v>101</v>
      </c>
      <c r="AE26" s="2">
        <f>VLOOKUP($AD26,'Equipment &amp; Troop Q'!$F$3:$I$30,2,FALSE)</f>
        <v>0</v>
      </c>
      <c r="AF26" s="2">
        <f>VLOOKUP($AD26,'Equipment &amp; Troop Q'!$F$3:$I$30,3,FALSE)</f>
        <v>0</v>
      </c>
      <c r="AG26" s="2">
        <f>VLOOKUP($AD26,'Equipment &amp; Troop Q'!$F$3:$I$30,4,FALSE)</f>
        <v>0</v>
      </c>
      <c r="AH26" s="2" t="s">
        <v>101</v>
      </c>
      <c r="AI26" s="2">
        <f>VLOOKUP($AH26,'Equipment &amp; Troop Q'!$F$3:$I$30,2,FALSE)</f>
        <v>0</v>
      </c>
      <c r="AJ26" s="2">
        <f>VLOOKUP($AH26,'Equipment &amp; Troop Q'!$F$3:$I$30,3,FALSE)</f>
        <v>0</v>
      </c>
      <c r="AK26" s="2">
        <f>VLOOKUP($AH26,'Equipment &amp; Troop Q'!$F$3:$I$30,4,FALSE)</f>
        <v>0</v>
      </c>
    </row>
    <row r="27" spans="1:37" x14ac:dyDescent="0.2">
      <c r="A27" s="5" t="s">
        <v>101</v>
      </c>
      <c r="B27" s="43">
        <f>((((VLOOKUP($A27,'TL0-5 Elements'!$A$2:$I$53,2,FALSE))*K27)*L27)*(1+O27+S27+W27+AA27+AE27+AI27))*M27</f>
        <v>0</v>
      </c>
      <c r="C27" s="43" t="str">
        <f>VLOOKUP($A27,'TL0-5 Elements'!$A$2:$I$53,3,FALSE)</f>
        <v>-</v>
      </c>
      <c r="D27" s="43">
        <f t="shared" si="0"/>
        <v>0</v>
      </c>
      <c r="E27" s="43" t="str">
        <f>VLOOKUP($A27,'TL0-5 Elements'!$A$2:$I$53,4,FALSE)</f>
        <v>-</v>
      </c>
      <c r="F27" s="43" t="str">
        <f>VLOOKUP($A27,'TL0-5 Elements'!$A$2:$I$53,5,FALSE)</f>
        <v>-</v>
      </c>
      <c r="G27" s="43" t="str">
        <f>VLOOKUP($A27,'TL0-5 Elements'!$A$2:$I$53,6,FALSE)</f>
        <v>-</v>
      </c>
      <c r="H27" s="45">
        <f>(((VLOOKUP($A27,'TL0-5 Elements'!$A$2:$I$53,7,FALSE))*L27)*(1+P27+T27+X27+AB27+AF27+AJ27))*M27</f>
        <v>0</v>
      </c>
      <c r="I27" s="45">
        <f>(((VLOOKUP($A27,'TL0-5 Elements'!$A$2:$I$53,8,FALSE))*L27)*(1+Q27+U27+Y27+AC27+AG27+AK27))*M27</f>
        <v>0</v>
      </c>
      <c r="J27" s="43">
        <f>VLOOKUP(A27,'TL0-5 Elements'!$A$2:$I$53,9,FALSE)</f>
        <v>0</v>
      </c>
      <c r="K27" s="2">
        <f>IF(VLOOKUP($A27,'TL0-5 Elements'!$A$2:$I$53,9,FALSE)-$J27=0,1,IF(VLOOKUP($A27,'TL0-5 Elements'!$A$2:$I$53,9,FALSE)-$J27=-1,2,IF(VLOOKUP($A27,'TL0-5 Elements'!$A$2:$I$53,9,FALSE)-$J27=-2,4,IF(VLOOKUP($A27,'TL0-5 Elements'!$A$2:$I$53,9,FALSE)-$J27=-3,8,IF(VLOOKUP($A27,'TL0-5 Elements'!$A$2:$I$53,9,FALSE)-$J27=-4,16,"Invalid")))))</f>
        <v>1</v>
      </c>
      <c r="L27" s="10">
        <v>1</v>
      </c>
      <c r="M27" s="44">
        <v>1</v>
      </c>
      <c r="N27" s="10" t="s">
        <v>138</v>
      </c>
      <c r="O27" s="10">
        <f>VLOOKUP(N27,'Equipment &amp; Troop Q'!$A$3:$D$7,2,FALSE)</f>
        <v>0</v>
      </c>
      <c r="P27" s="10">
        <f>VLOOKUP($N27,'Equipment &amp; Troop Q'!$A$3:$D$7,3,FALSE)</f>
        <v>0</v>
      </c>
      <c r="Q27" s="10">
        <f>VLOOKUP($N27,'Equipment &amp; Troop Q'!$A$3:$D$7,4,FALSE)</f>
        <v>0</v>
      </c>
      <c r="R27" s="10" t="s">
        <v>141</v>
      </c>
      <c r="S27" s="42">
        <f>VLOOKUP($R27,'Equipment &amp; Troop Q'!$A$13:$D$16,2,FALSE)</f>
        <v>0</v>
      </c>
      <c r="T27" s="42">
        <f>IF(OR(V27="Fanatic",Z27="Fanatic",AD27="Fanatic",AH27="Fanatic"),VLOOKUP($R27,'Equipment &amp; Troop Q'!$A$18:$D$19,3,FALSE),VLOOKUP($R27,'Equipment &amp; Troop Q'!$A$13:$D$16,3,FALSE))</f>
        <v>0</v>
      </c>
      <c r="U27" s="2">
        <f>VLOOKUP($R27,'Equipment &amp; Troop Q'!$A$13:$D$16,4,FALSE)</f>
        <v>0</v>
      </c>
      <c r="V27" s="2" t="s">
        <v>101</v>
      </c>
      <c r="W27" s="2">
        <f>VLOOKUP($V27,'Equipment &amp; Troop Q'!$F$3:$I$30,2,FALSE)</f>
        <v>0</v>
      </c>
      <c r="X27" s="2">
        <f>VLOOKUP($V27,'Equipment &amp; Troop Q'!$F$3:$I$30,3,FALSE)</f>
        <v>0</v>
      </c>
      <c r="Y27" s="2">
        <f>VLOOKUP($V27,'Equipment &amp; Troop Q'!$F$3:$I$30,4,FALSE)</f>
        <v>0</v>
      </c>
      <c r="Z27" s="2" t="s">
        <v>101</v>
      </c>
      <c r="AA27" s="2">
        <f>VLOOKUP($Z27,'Equipment &amp; Troop Q'!$F$3:$I$30,2,FALSE)</f>
        <v>0</v>
      </c>
      <c r="AB27" s="2">
        <f>VLOOKUP($Z27,'Equipment &amp; Troop Q'!$F$3:$I$30,3,FALSE)</f>
        <v>0</v>
      </c>
      <c r="AC27" s="2">
        <f>VLOOKUP($Z27,'Equipment &amp; Troop Q'!$F$3:$I$30,4,FALSE)</f>
        <v>0</v>
      </c>
      <c r="AD27" s="2" t="s">
        <v>101</v>
      </c>
      <c r="AE27" s="2">
        <f>VLOOKUP($AD27,'Equipment &amp; Troop Q'!$F$3:$I$30,2,FALSE)</f>
        <v>0</v>
      </c>
      <c r="AF27" s="2">
        <f>VLOOKUP($AD27,'Equipment &amp; Troop Q'!$F$3:$I$30,3,FALSE)</f>
        <v>0</v>
      </c>
      <c r="AG27" s="2">
        <f>VLOOKUP($AD27,'Equipment &amp; Troop Q'!$F$3:$I$30,4,FALSE)</f>
        <v>0</v>
      </c>
      <c r="AH27" s="2" t="s">
        <v>101</v>
      </c>
      <c r="AI27" s="2">
        <f>VLOOKUP($AH27,'Equipment &amp; Troop Q'!$F$3:$I$30,2,FALSE)</f>
        <v>0</v>
      </c>
      <c r="AJ27" s="2">
        <f>VLOOKUP($AH27,'Equipment &amp; Troop Q'!$F$3:$I$30,3,FALSE)</f>
        <v>0</v>
      </c>
      <c r="AK27" s="2">
        <f>VLOOKUP($AH27,'Equipment &amp; Troop Q'!$F$3:$I$30,4,FALSE)</f>
        <v>0</v>
      </c>
    </row>
    <row r="28" spans="1:37" x14ac:dyDescent="0.2">
      <c r="A28" s="5" t="s">
        <v>101</v>
      </c>
      <c r="B28" s="43">
        <f>((((VLOOKUP($A28,'TL0-5 Elements'!$A$2:$I$53,2,FALSE))*K28)*L28)*(1+O28+S28+W28+AA28+AE28+AI28))*M28</f>
        <v>0</v>
      </c>
      <c r="C28" s="43" t="str">
        <f>VLOOKUP($A28,'TL0-5 Elements'!$A$2:$I$53,3,FALSE)</f>
        <v>-</v>
      </c>
      <c r="D28" s="43">
        <f t="shared" si="0"/>
        <v>0</v>
      </c>
      <c r="E28" s="43" t="str">
        <f>VLOOKUP($A28,'TL0-5 Elements'!$A$2:$I$53,4,FALSE)</f>
        <v>-</v>
      </c>
      <c r="F28" s="43" t="str">
        <f>VLOOKUP($A28,'TL0-5 Elements'!$A$2:$I$53,5,FALSE)</f>
        <v>-</v>
      </c>
      <c r="G28" s="43" t="str">
        <f>VLOOKUP($A28,'TL0-5 Elements'!$A$2:$I$53,6,FALSE)</f>
        <v>-</v>
      </c>
      <c r="H28" s="45">
        <f>(((VLOOKUP($A28,'TL0-5 Elements'!$A$2:$I$53,7,FALSE))*L28)*(1+P28+T28+X28+AB28+AF28+AJ28))*M28</f>
        <v>0</v>
      </c>
      <c r="I28" s="45">
        <f>(((VLOOKUP($A28,'TL0-5 Elements'!$A$2:$I$53,8,FALSE))*L28)*(1+Q28+U28+Y28+AC28+AG28+AK28))*M28</f>
        <v>0</v>
      </c>
      <c r="J28" s="43">
        <f>VLOOKUP(A28,'TL0-5 Elements'!$A$2:$I$53,9,FALSE)</f>
        <v>0</v>
      </c>
      <c r="K28" s="2">
        <f>IF(VLOOKUP($A28,'TL0-5 Elements'!$A$2:$I$53,9,FALSE)-$J28=0,1,IF(VLOOKUP($A28,'TL0-5 Elements'!$A$2:$I$53,9,FALSE)-$J28=-1,2,IF(VLOOKUP($A28,'TL0-5 Elements'!$A$2:$I$53,9,FALSE)-$J28=-2,4,IF(VLOOKUP($A28,'TL0-5 Elements'!$A$2:$I$53,9,FALSE)-$J28=-3,8,IF(VLOOKUP($A28,'TL0-5 Elements'!$A$2:$I$53,9,FALSE)-$J28=-4,16,"Invalid")))))</f>
        <v>1</v>
      </c>
      <c r="L28" s="10">
        <v>1</v>
      </c>
      <c r="M28" s="44">
        <v>1</v>
      </c>
      <c r="N28" s="10" t="s">
        <v>138</v>
      </c>
      <c r="O28" s="10">
        <f>VLOOKUP(N28,'Equipment &amp; Troop Q'!$A$3:$D$7,2,FALSE)</f>
        <v>0</v>
      </c>
      <c r="P28" s="10">
        <f>VLOOKUP($N28,'Equipment &amp; Troop Q'!$A$3:$D$7,3,FALSE)</f>
        <v>0</v>
      </c>
      <c r="Q28" s="10">
        <f>VLOOKUP($N28,'Equipment &amp; Troop Q'!$A$3:$D$7,4,FALSE)</f>
        <v>0</v>
      </c>
      <c r="R28" s="10" t="s">
        <v>141</v>
      </c>
      <c r="S28" s="42">
        <f>VLOOKUP($R28,'Equipment &amp; Troop Q'!$A$13:$D$16,2,FALSE)</f>
        <v>0</v>
      </c>
      <c r="T28" s="42">
        <f>IF(OR(V28="Fanatic",Z28="Fanatic",AD28="Fanatic",AH28="Fanatic"),VLOOKUP($R28,'Equipment &amp; Troop Q'!$A$18:$D$19,3,FALSE),VLOOKUP($R28,'Equipment &amp; Troop Q'!$A$13:$D$16,3,FALSE))</f>
        <v>0</v>
      </c>
      <c r="U28" s="2">
        <f>VLOOKUP($R28,'Equipment &amp; Troop Q'!$A$13:$D$16,4,FALSE)</f>
        <v>0</v>
      </c>
      <c r="V28" s="2" t="s">
        <v>101</v>
      </c>
      <c r="W28" s="2">
        <f>VLOOKUP($V28,'Equipment &amp; Troop Q'!$F$3:$I$30,2,FALSE)</f>
        <v>0</v>
      </c>
      <c r="X28" s="2">
        <f>VLOOKUP($V28,'Equipment &amp; Troop Q'!$F$3:$I$30,3,FALSE)</f>
        <v>0</v>
      </c>
      <c r="Y28" s="2">
        <f>VLOOKUP($V28,'Equipment &amp; Troop Q'!$F$3:$I$30,4,FALSE)</f>
        <v>0</v>
      </c>
      <c r="Z28" s="2" t="s">
        <v>101</v>
      </c>
      <c r="AA28" s="2">
        <f>VLOOKUP($Z28,'Equipment &amp; Troop Q'!$F$3:$I$30,2,FALSE)</f>
        <v>0</v>
      </c>
      <c r="AB28" s="2">
        <f>VLOOKUP($Z28,'Equipment &amp; Troop Q'!$F$3:$I$30,3,FALSE)</f>
        <v>0</v>
      </c>
      <c r="AC28" s="2">
        <f>VLOOKUP($Z28,'Equipment &amp; Troop Q'!$F$3:$I$30,4,FALSE)</f>
        <v>0</v>
      </c>
      <c r="AD28" s="2" t="s">
        <v>101</v>
      </c>
      <c r="AE28" s="2">
        <f>VLOOKUP($AD28,'Equipment &amp; Troop Q'!$F$3:$I$30,2,FALSE)</f>
        <v>0</v>
      </c>
      <c r="AF28" s="2">
        <f>VLOOKUP($AD28,'Equipment &amp; Troop Q'!$F$3:$I$30,3,FALSE)</f>
        <v>0</v>
      </c>
      <c r="AG28" s="2">
        <f>VLOOKUP($AD28,'Equipment &amp; Troop Q'!$F$3:$I$30,4,FALSE)</f>
        <v>0</v>
      </c>
      <c r="AH28" s="2" t="s">
        <v>101</v>
      </c>
      <c r="AI28" s="2">
        <f>VLOOKUP($AH28,'Equipment &amp; Troop Q'!$F$3:$I$30,2,FALSE)</f>
        <v>0</v>
      </c>
      <c r="AJ28" s="2">
        <f>VLOOKUP($AH28,'Equipment &amp; Troop Q'!$F$3:$I$30,3,FALSE)</f>
        <v>0</v>
      </c>
      <c r="AK28" s="2">
        <f>VLOOKUP($AH28,'Equipment &amp; Troop Q'!$F$3:$I$30,4,FALSE)</f>
        <v>0</v>
      </c>
    </row>
    <row r="29" spans="1:37" x14ac:dyDescent="0.2">
      <c r="A29" s="5" t="s">
        <v>101</v>
      </c>
      <c r="B29" s="43">
        <f>((((VLOOKUP($A29,'TL0-5 Elements'!$A$2:$I$53,2,FALSE))*K29)*L29)*(1+O29+S29+W29+AA29+AE29+AI29))*M29</f>
        <v>0</v>
      </c>
      <c r="C29" s="43" t="str">
        <f>VLOOKUP($A29,'TL0-5 Elements'!$A$2:$I$53,3,FALSE)</f>
        <v>-</v>
      </c>
      <c r="D29" s="43">
        <f t="shared" si="0"/>
        <v>0</v>
      </c>
      <c r="E29" s="43" t="str">
        <f>VLOOKUP($A29,'TL0-5 Elements'!$A$2:$I$53,4,FALSE)</f>
        <v>-</v>
      </c>
      <c r="F29" s="43" t="str">
        <f>VLOOKUP($A29,'TL0-5 Elements'!$A$2:$I$53,5,FALSE)</f>
        <v>-</v>
      </c>
      <c r="G29" s="43" t="str">
        <f>VLOOKUP($A29,'TL0-5 Elements'!$A$2:$I$53,6,FALSE)</f>
        <v>-</v>
      </c>
      <c r="H29" s="45">
        <f>(((VLOOKUP($A29,'TL0-5 Elements'!$A$2:$I$53,7,FALSE))*L29)*(1+P29+T29+X29+AB29+AF29+AJ29))*M29</f>
        <v>0</v>
      </c>
      <c r="I29" s="45">
        <f>(((VLOOKUP($A29,'TL0-5 Elements'!$A$2:$I$53,8,FALSE))*L29)*(1+Q29+U29+Y29+AC29+AG29+AK29))*M29</f>
        <v>0</v>
      </c>
      <c r="J29" s="43">
        <f>VLOOKUP(A29,'TL0-5 Elements'!$A$2:$I$53,9,FALSE)</f>
        <v>0</v>
      </c>
      <c r="K29" s="2">
        <f>IF(VLOOKUP($A29,'TL0-5 Elements'!$A$2:$I$53,9,FALSE)-$J29=0,1,IF(VLOOKUP($A29,'TL0-5 Elements'!$A$2:$I$53,9,FALSE)-$J29=-1,2,IF(VLOOKUP($A29,'TL0-5 Elements'!$A$2:$I$53,9,FALSE)-$J29=-2,4,IF(VLOOKUP($A29,'TL0-5 Elements'!$A$2:$I$53,9,FALSE)-$J29=-3,8,IF(VLOOKUP($A29,'TL0-5 Elements'!$A$2:$I$53,9,FALSE)-$J29=-4,16,"Invalid")))))</f>
        <v>1</v>
      </c>
      <c r="L29" s="10">
        <v>1</v>
      </c>
      <c r="M29" s="44">
        <v>1</v>
      </c>
      <c r="N29" s="10" t="s">
        <v>138</v>
      </c>
      <c r="O29" s="10">
        <f>VLOOKUP(N29,'Equipment &amp; Troop Q'!$A$3:$D$7,2,FALSE)</f>
        <v>0</v>
      </c>
      <c r="P29" s="10">
        <f>VLOOKUP($N29,'Equipment &amp; Troop Q'!$A$3:$D$7,3,FALSE)</f>
        <v>0</v>
      </c>
      <c r="Q29" s="10">
        <f>VLOOKUP($N29,'Equipment &amp; Troop Q'!$A$3:$D$7,4,FALSE)</f>
        <v>0</v>
      </c>
      <c r="R29" s="10" t="s">
        <v>141</v>
      </c>
      <c r="S29" s="42">
        <f>VLOOKUP($R29,'Equipment &amp; Troop Q'!$A$13:$D$16,2,FALSE)</f>
        <v>0</v>
      </c>
      <c r="T29" s="42">
        <f>IF(OR(V29="Fanatic",Z29="Fanatic",AD29="Fanatic",AH29="Fanatic"),VLOOKUP($R29,'Equipment &amp; Troop Q'!$A$18:$D$19,3,FALSE),VLOOKUP($R29,'Equipment &amp; Troop Q'!$A$13:$D$16,3,FALSE))</f>
        <v>0</v>
      </c>
      <c r="U29" s="2">
        <f>VLOOKUP($R29,'Equipment &amp; Troop Q'!$A$13:$D$16,4,FALSE)</f>
        <v>0</v>
      </c>
      <c r="V29" s="2" t="s">
        <v>101</v>
      </c>
      <c r="W29" s="2">
        <f>VLOOKUP($V29,'Equipment &amp; Troop Q'!$F$3:$I$30,2,FALSE)</f>
        <v>0</v>
      </c>
      <c r="X29" s="2">
        <f>VLOOKUP($V29,'Equipment &amp; Troop Q'!$F$3:$I$30,3,FALSE)</f>
        <v>0</v>
      </c>
      <c r="Y29" s="2">
        <f>VLOOKUP($V29,'Equipment &amp; Troop Q'!$F$3:$I$30,4,FALSE)</f>
        <v>0</v>
      </c>
      <c r="Z29" s="2" t="s">
        <v>101</v>
      </c>
      <c r="AA29" s="2">
        <f>VLOOKUP($Z29,'Equipment &amp; Troop Q'!$F$3:$I$30,2,FALSE)</f>
        <v>0</v>
      </c>
      <c r="AB29" s="2">
        <f>VLOOKUP($Z29,'Equipment &amp; Troop Q'!$F$3:$I$30,3,FALSE)</f>
        <v>0</v>
      </c>
      <c r="AC29" s="2">
        <f>VLOOKUP($Z29,'Equipment &amp; Troop Q'!$F$3:$I$30,4,FALSE)</f>
        <v>0</v>
      </c>
      <c r="AD29" s="2" t="s">
        <v>101</v>
      </c>
      <c r="AE29" s="2">
        <f>VLOOKUP($AD29,'Equipment &amp; Troop Q'!$F$3:$I$30,2,FALSE)</f>
        <v>0</v>
      </c>
      <c r="AF29" s="2">
        <f>VLOOKUP($AD29,'Equipment &amp; Troop Q'!$F$3:$I$30,3,FALSE)</f>
        <v>0</v>
      </c>
      <c r="AG29" s="2">
        <f>VLOOKUP($AD29,'Equipment &amp; Troop Q'!$F$3:$I$30,4,FALSE)</f>
        <v>0</v>
      </c>
      <c r="AH29" s="2" t="s">
        <v>101</v>
      </c>
      <c r="AI29" s="2">
        <f>VLOOKUP($AH29,'Equipment &amp; Troop Q'!$F$3:$I$30,2,FALSE)</f>
        <v>0</v>
      </c>
      <c r="AJ29" s="2">
        <f>VLOOKUP($AH29,'Equipment &amp; Troop Q'!$F$3:$I$30,3,FALSE)</f>
        <v>0</v>
      </c>
      <c r="AK29" s="2">
        <f>VLOOKUP($AH29,'Equipment &amp; Troop Q'!$F$3:$I$30,4,FALSE)</f>
        <v>0</v>
      </c>
    </row>
    <row r="30" spans="1:37" x14ac:dyDescent="0.2">
      <c r="A30" s="5" t="s">
        <v>101</v>
      </c>
      <c r="B30" s="43">
        <f>((((VLOOKUP($A30,'TL0-5 Elements'!$A$2:$I$53,2,FALSE))*K30)*L30)*(1+O30+S30+W30+AA30+AE30+AI30))*M30</f>
        <v>0</v>
      </c>
      <c r="C30" s="43" t="str">
        <f>VLOOKUP($A30,'TL0-5 Elements'!$A$2:$I$53,3,FALSE)</f>
        <v>-</v>
      </c>
      <c r="D30" s="43">
        <f t="shared" si="0"/>
        <v>0</v>
      </c>
      <c r="E30" s="43" t="str">
        <f>VLOOKUP($A30,'TL0-5 Elements'!$A$2:$I$53,4,FALSE)</f>
        <v>-</v>
      </c>
      <c r="F30" s="43" t="str">
        <f>VLOOKUP($A30,'TL0-5 Elements'!$A$2:$I$53,5,FALSE)</f>
        <v>-</v>
      </c>
      <c r="G30" s="43" t="str">
        <f>VLOOKUP($A30,'TL0-5 Elements'!$A$2:$I$53,6,FALSE)</f>
        <v>-</v>
      </c>
      <c r="H30" s="45">
        <f>(((VLOOKUP($A30,'TL0-5 Elements'!$A$2:$I$53,7,FALSE))*L30)*(1+P30+T30+X30+AB30+AF30+AJ30))*M30</f>
        <v>0</v>
      </c>
      <c r="I30" s="45">
        <f>(((VLOOKUP($A30,'TL0-5 Elements'!$A$2:$I$53,8,FALSE))*L30)*(1+Q30+U30+Y30+AC30+AG30+AK30))*M30</f>
        <v>0</v>
      </c>
      <c r="J30" s="43">
        <f>VLOOKUP(A30,'TL0-5 Elements'!$A$2:$I$53,9,FALSE)</f>
        <v>0</v>
      </c>
      <c r="K30" s="2">
        <f>IF(VLOOKUP($A30,'TL0-5 Elements'!$A$2:$I$53,9,FALSE)-$J30=0,1,IF(VLOOKUP($A30,'TL0-5 Elements'!$A$2:$I$53,9,FALSE)-$J30=-1,2,IF(VLOOKUP($A30,'TL0-5 Elements'!$A$2:$I$53,9,FALSE)-$J30=-2,4,IF(VLOOKUP($A30,'TL0-5 Elements'!$A$2:$I$53,9,FALSE)-$J30=-3,8,IF(VLOOKUP($A30,'TL0-5 Elements'!$A$2:$I$53,9,FALSE)-$J30=-4,16,"Invalid")))))</f>
        <v>1</v>
      </c>
      <c r="L30" s="10">
        <v>1</v>
      </c>
      <c r="M30" s="44">
        <v>1</v>
      </c>
      <c r="N30" s="10" t="s">
        <v>138</v>
      </c>
      <c r="O30" s="10">
        <f>VLOOKUP(N30,'Equipment &amp; Troop Q'!$A$3:$D$7,2,FALSE)</f>
        <v>0</v>
      </c>
      <c r="P30" s="10">
        <f>VLOOKUP($N30,'Equipment &amp; Troop Q'!$A$3:$D$7,3,FALSE)</f>
        <v>0</v>
      </c>
      <c r="Q30" s="10">
        <f>VLOOKUP($N30,'Equipment &amp; Troop Q'!$A$3:$D$7,4,FALSE)</f>
        <v>0</v>
      </c>
      <c r="R30" s="10" t="s">
        <v>141</v>
      </c>
      <c r="S30" s="42">
        <f>VLOOKUP($R30,'Equipment &amp; Troop Q'!$A$13:$D$16,2,FALSE)</f>
        <v>0</v>
      </c>
      <c r="T30" s="42">
        <f>IF(OR(V30="Fanatic",Z30="Fanatic",AD30="Fanatic",AH30="Fanatic"),VLOOKUP($R30,'Equipment &amp; Troop Q'!$A$18:$D$19,3,FALSE),VLOOKUP($R30,'Equipment &amp; Troop Q'!$A$13:$D$16,3,FALSE))</f>
        <v>0</v>
      </c>
      <c r="U30" s="2">
        <f>VLOOKUP($R30,'Equipment &amp; Troop Q'!$A$13:$D$16,4,FALSE)</f>
        <v>0</v>
      </c>
      <c r="V30" s="2" t="s">
        <v>101</v>
      </c>
      <c r="W30" s="2">
        <f>VLOOKUP($V30,'Equipment &amp; Troop Q'!$F$3:$I$30,2,FALSE)</f>
        <v>0</v>
      </c>
      <c r="X30" s="2">
        <f>VLOOKUP($V30,'Equipment &amp; Troop Q'!$F$3:$I$30,3,FALSE)</f>
        <v>0</v>
      </c>
      <c r="Y30" s="2">
        <f>VLOOKUP($V30,'Equipment &amp; Troop Q'!$F$3:$I$30,4,FALSE)</f>
        <v>0</v>
      </c>
      <c r="Z30" s="2" t="s">
        <v>101</v>
      </c>
      <c r="AA30" s="2">
        <f>VLOOKUP($Z30,'Equipment &amp; Troop Q'!$F$3:$I$30,2,FALSE)</f>
        <v>0</v>
      </c>
      <c r="AB30" s="2">
        <f>VLOOKUP($Z30,'Equipment &amp; Troop Q'!$F$3:$I$30,3,FALSE)</f>
        <v>0</v>
      </c>
      <c r="AC30" s="2">
        <f>VLOOKUP($Z30,'Equipment &amp; Troop Q'!$F$3:$I$30,4,FALSE)</f>
        <v>0</v>
      </c>
      <c r="AD30" s="2" t="s">
        <v>101</v>
      </c>
      <c r="AE30" s="2">
        <f>VLOOKUP($AD30,'Equipment &amp; Troop Q'!$F$3:$I$30,2,FALSE)</f>
        <v>0</v>
      </c>
      <c r="AF30" s="2">
        <f>VLOOKUP($AD30,'Equipment &amp; Troop Q'!$F$3:$I$30,3,FALSE)</f>
        <v>0</v>
      </c>
      <c r="AG30" s="2">
        <f>VLOOKUP($AD30,'Equipment &amp; Troop Q'!$F$3:$I$30,4,FALSE)</f>
        <v>0</v>
      </c>
      <c r="AH30" s="2" t="s">
        <v>101</v>
      </c>
      <c r="AI30" s="2">
        <f>VLOOKUP($AH30,'Equipment &amp; Troop Q'!$F$3:$I$30,2,FALSE)</f>
        <v>0</v>
      </c>
      <c r="AJ30" s="2">
        <f>VLOOKUP($AH30,'Equipment &amp; Troop Q'!$F$3:$I$30,3,FALSE)</f>
        <v>0</v>
      </c>
      <c r="AK30" s="2">
        <f>VLOOKUP($AH30,'Equipment &amp; Troop Q'!$F$3:$I$30,4,FALSE)</f>
        <v>0</v>
      </c>
    </row>
    <row r="31" spans="1:37" x14ac:dyDescent="0.2">
      <c r="A31" s="5" t="s">
        <v>101</v>
      </c>
      <c r="B31" s="43">
        <f>((((VLOOKUP($A31,'TL0-5 Elements'!$A$2:$I$53,2,FALSE))*K31)*L31)*(1+O31+S31+W31+AA31+AE31+AI31))*M31</f>
        <v>0</v>
      </c>
      <c r="C31" s="43" t="str">
        <f>VLOOKUP($A31,'TL0-5 Elements'!$A$2:$I$53,3,FALSE)</f>
        <v>-</v>
      </c>
      <c r="D31" s="43">
        <f t="shared" si="0"/>
        <v>0</v>
      </c>
      <c r="E31" s="43" t="str">
        <f>VLOOKUP($A31,'TL0-5 Elements'!$A$2:$I$53,4,FALSE)</f>
        <v>-</v>
      </c>
      <c r="F31" s="43" t="str">
        <f>VLOOKUP($A31,'TL0-5 Elements'!$A$2:$I$53,5,FALSE)</f>
        <v>-</v>
      </c>
      <c r="G31" s="43" t="str">
        <f>VLOOKUP($A31,'TL0-5 Elements'!$A$2:$I$53,6,FALSE)</f>
        <v>-</v>
      </c>
      <c r="H31" s="45">
        <f>(((VLOOKUP($A31,'TL0-5 Elements'!$A$2:$I$53,7,FALSE))*L31)*(1+P31+T31+X31+AB31+AF31+AJ31))*M31</f>
        <v>0</v>
      </c>
      <c r="I31" s="45">
        <f>(((VLOOKUP($A31,'TL0-5 Elements'!$A$2:$I$53,8,FALSE))*L31)*(1+Q31+U31+Y31+AC31+AG31+AK31))*M31</f>
        <v>0</v>
      </c>
      <c r="J31" s="43">
        <f>VLOOKUP(A31,'TL0-5 Elements'!$A$2:$I$53,9,FALSE)</f>
        <v>0</v>
      </c>
      <c r="K31" s="2">
        <f>IF(VLOOKUP($A31,'TL0-5 Elements'!$A$2:$I$53,9,FALSE)-$J31=0,1,IF(VLOOKUP($A31,'TL0-5 Elements'!$A$2:$I$53,9,FALSE)-$J31=-1,2,IF(VLOOKUP($A31,'TL0-5 Elements'!$A$2:$I$53,9,FALSE)-$J31=-2,4,IF(VLOOKUP($A31,'TL0-5 Elements'!$A$2:$I$53,9,FALSE)-$J31=-3,8,IF(VLOOKUP($A31,'TL0-5 Elements'!$A$2:$I$53,9,FALSE)-$J31=-4,16,"Invalid")))))</f>
        <v>1</v>
      </c>
      <c r="L31" s="10">
        <v>1</v>
      </c>
      <c r="M31" s="44">
        <v>1</v>
      </c>
      <c r="N31" s="10" t="s">
        <v>138</v>
      </c>
      <c r="O31" s="10">
        <f>VLOOKUP(N31,'Equipment &amp; Troop Q'!$A$3:$D$7,2,FALSE)</f>
        <v>0</v>
      </c>
      <c r="P31" s="10">
        <f>VLOOKUP($N31,'Equipment &amp; Troop Q'!$A$3:$D$7,3,FALSE)</f>
        <v>0</v>
      </c>
      <c r="Q31" s="10">
        <f>VLOOKUP($N31,'Equipment &amp; Troop Q'!$A$3:$D$7,4,FALSE)</f>
        <v>0</v>
      </c>
      <c r="R31" s="10" t="s">
        <v>141</v>
      </c>
      <c r="S31" s="42">
        <f>VLOOKUP($R31,'Equipment &amp; Troop Q'!$A$13:$D$16,2,FALSE)</f>
        <v>0</v>
      </c>
      <c r="T31" s="42">
        <f>IF(OR(V31="Fanatic",Z31="Fanatic",AD31="Fanatic",AH31="Fanatic"),VLOOKUP($R31,'Equipment &amp; Troop Q'!$A$18:$D$19,3,FALSE),VLOOKUP($R31,'Equipment &amp; Troop Q'!$A$13:$D$16,3,FALSE))</f>
        <v>0</v>
      </c>
      <c r="U31" s="2">
        <f>VLOOKUP($R31,'Equipment &amp; Troop Q'!$A$13:$D$16,4,FALSE)</f>
        <v>0</v>
      </c>
      <c r="V31" s="2" t="s">
        <v>101</v>
      </c>
      <c r="W31" s="2">
        <f>VLOOKUP($V31,'Equipment &amp; Troop Q'!$F$3:$I$30,2,FALSE)</f>
        <v>0</v>
      </c>
      <c r="X31" s="2">
        <f>VLOOKUP($V31,'Equipment &amp; Troop Q'!$F$3:$I$30,3,FALSE)</f>
        <v>0</v>
      </c>
      <c r="Y31" s="2">
        <f>VLOOKUP($V31,'Equipment &amp; Troop Q'!$F$3:$I$30,4,FALSE)</f>
        <v>0</v>
      </c>
      <c r="Z31" s="2" t="s">
        <v>101</v>
      </c>
      <c r="AA31" s="2">
        <f>VLOOKUP($Z31,'Equipment &amp; Troop Q'!$F$3:$I$30,2,FALSE)</f>
        <v>0</v>
      </c>
      <c r="AB31" s="2">
        <f>VLOOKUP($Z31,'Equipment &amp; Troop Q'!$F$3:$I$30,3,FALSE)</f>
        <v>0</v>
      </c>
      <c r="AC31" s="2">
        <f>VLOOKUP($Z31,'Equipment &amp; Troop Q'!$F$3:$I$30,4,FALSE)</f>
        <v>0</v>
      </c>
      <c r="AD31" s="2" t="s">
        <v>101</v>
      </c>
      <c r="AE31" s="2">
        <f>VLOOKUP($AD31,'Equipment &amp; Troop Q'!$F$3:$I$30,2,FALSE)</f>
        <v>0</v>
      </c>
      <c r="AF31" s="2">
        <f>VLOOKUP($AD31,'Equipment &amp; Troop Q'!$F$3:$I$30,3,FALSE)</f>
        <v>0</v>
      </c>
      <c r="AG31" s="2">
        <f>VLOOKUP($AD31,'Equipment &amp; Troop Q'!$F$3:$I$30,4,FALSE)</f>
        <v>0</v>
      </c>
      <c r="AH31" s="2" t="s">
        <v>101</v>
      </c>
      <c r="AI31" s="2">
        <f>VLOOKUP($AH31,'Equipment &amp; Troop Q'!$F$3:$I$30,2,FALSE)</f>
        <v>0</v>
      </c>
      <c r="AJ31" s="2">
        <f>VLOOKUP($AH31,'Equipment &amp; Troop Q'!$F$3:$I$30,3,FALSE)</f>
        <v>0</v>
      </c>
      <c r="AK31" s="2">
        <f>VLOOKUP($AH31,'Equipment &amp; Troop Q'!$F$3:$I$30,4,FALSE)</f>
        <v>0</v>
      </c>
    </row>
    <row r="34" spans="1:9" x14ac:dyDescent="0.2">
      <c r="A34" s="3" t="s">
        <v>144</v>
      </c>
      <c r="B34" s="16">
        <f>SUM(H3:H31)</f>
        <v>2300000</v>
      </c>
      <c r="C34" s="16"/>
      <c r="D34" s="16"/>
      <c r="H34" s="40" t="s">
        <v>357</v>
      </c>
      <c r="I34" s="41">
        <f>B35/1000</f>
        <v>351.2</v>
      </c>
    </row>
    <row r="35" spans="1:9" x14ac:dyDescent="0.2">
      <c r="A35" s="3" t="s">
        <v>145</v>
      </c>
      <c r="B35" s="16">
        <f>SUM(I3:I31)</f>
        <v>351200</v>
      </c>
      <c r="C35" s="16"/>
      <c r="D35" s="16"/>
      <c r="H35" s="40" t="s">
        <v>358</v>
      </c>
      <c r="I35" s="16">
        <f>I34*5000</f>
        <v>1756000</v>
      </c>
    </row>
    <row r="36" spans="1:9" x14ac:dyDescent="0.2">
      <c r="A36" s="3" t="s">
        <v>146</v>
      </c>
      <c r="B36" s="39">
        <f>(SUMIF(C3:C31,0,B3:B31)+(SUMIF(C3:C31,1,B3:B31)*0.1))+SUM(D3:D31)</f>
        <v>75.5</v>
      </c>
      <c r="H36" s="40" t="s">
        <v>359</v>
      </c>
      <c r="I36" s="16">
        <f>I35*0.1</f>
        <v>175600</v>
      </c>
    </row>
    <row r="37" spans="1:9" x14ac:dyDescent="0.2">
      <c r="A37" s="3" t="s">
        <v>147</v>
      </c>
      <c r="B37" s="39">
        <f ca="1">(SUMIF(E3:E31,"*F*",B3:B31)+SUMIF(V3:AH31,"*F*",B3:B31))-F37</f>
        <v>4</v>
      </c>
      <c r="E37" s="1" t="s">
        <v>364</v>
      </c>
      <c r="F37" s="39">
        <f ca="1">SUMIF($E$3:$E$31,"*(F)*",$B$3:$B$31)+SUMIF($V$3:$AH$31,"*(F)*",$B$3:$B$31)</f>
        <v>0</v>
      </c>
    </row>
    <row r="38" spans="1:9" x14ac:dyDescent="0.2">
      <c r="A38" s="3" t="s">
        <v>148</v>
      </c>
      <c r="B38" s="39">
        <f ca="1">(SUMIF(E3:E31,"*Cv*",B3:B31)+SUMIF(V3:AH31,"*Cv*",B3:B31))-F38</f>
        <v>37.5</v>
      </c>
      <c r="E38" s="1" t="s">
        <v>365</v>
      </c>
      <c r="F38" s="39">
        <f ca="1">SUMIF($E$3:$E$31,"*(Cv)*",$B$3:$B$31)+SUMIF($V$3:$AH$31,"*(Cv)*",$B$3:$B$31)</f>
        <v>0</v>
      </c>
    </row>
    <row r="39" spans="1:9" x14ac:dyDescent="0.2">
      <c r="A39" s="3" t="s">
        <v>149</v>
      </c>
      <c r="B39" s="39">
        <f ca="1">(SUMIF(E3:E31,"*Arm*",B3:B31)+SUMIF(V3:AH31,"*Arm*",B3:B31))-F39</f>
        <v>0</v>
      </c>
      <c r="E39" s="1" t="s">
        <v>366</v>
      </c>
      <c r="F39" s="39">
        <f ca="1">SUMIF($E$3:$E$31,"*(Arm)*",$B$3:$B$31)+SUMIF($V$3:$AH$31,"*(Arm)*",$B$3:$B$31)</f>
        <v>0</v>
      </c>
    </row>
    <row r="40" spans="1:9" x14ac:dyDescent="0.2">
      <c r="A40" s="3" t="s">
        <v>150</v>
      </c>
      <c r="B40" s="39">
        <f ca="1">(SUMIF(E3:E31,"*Air*",B3:B31)+SUMIF(V3:AH31,"*Air*",B3:B31))-F40</f>
        <v>0</v>
      </c>
      <c r="E40" s="1" t="s">
        <v>62</v>
      </c>
      <c r="F40" s="39">
        <f ca="1">SUMIF($E$3:$E$31,"*(Air)*",$B$3:$B$31)+SUMIF($V$3:$AH$31,"*(Air)*",$B$3:$B$31)</f>
        <v>0</v>
      </c>
      <c r="H40" s="40" t="s">
        <v>360</v>
      </c>
      <c r="I40" s="16">
        <f>I35+B34</f>
        <v>4056000</v>
      </c>
    </row>
    <row r="41" spans="1:9" x14ac:dyDescent="0.2">
      <c r="A41" s="3" t="s">
        <v>151</v>
      </c>
      <c r="B41" s="39">
        <f ca="1">(SUMIF(E3:E31,"*Art*",B3:B31)+SUMIF(V3:AH31,"*Art*",B3:B31))-F41</f>
        <v>0</v>
      </c>
      <c r="E41" s="1" t="s">
        <v>367</v>
      </c>
      <c r="F41" s="39">
        <f ca="1">SUMIF($E$3:$E$31,"*(Art)*",$B$3:$B$31)+SUMIF($V$3:$AH$31,"*(Art)*",$B$3:$B$31)</f>
        <v>0</v>
      </c>
      <c r="H41" s="40" t="s">
        <v>361</v>
      </c>
      <c r="I41" s="16">
        <f>I36+B35</f>
        <v>526800</v>
      </c>
    </row>
    <row r="42" spans="1:9" x14ac:dyDescent="0.2">
      <c r="A42" s="3" t="s">
        <v>152</v>
      </c>
      <c r="B42" s="39">
        <f ca="1">(SUMIF(E3:E31,"*Nav*",B3:B31)+SUMIF(V3:AH31,"*Nav*",B3:B31))-F42</f>
        <v>0</v>
      </c>
      <c r="E42" s="1" t="s">
        <v>368</v>
      </c>
      <c r="F42" s="39">
        <f ca="1">SUMIF($E$3:$E$31,"*(Nav)*",$B$3:$B$31)+SUMIF($V$3:$AH$31,"*(Nav)*",$B$3:$B$31)</f>
        <v>0</v>
      </c>
    </row>
    <row r="43" spans="1:9" x14ac:dyDescent="0.2">
      <c r="A43" s="3" t="s">
        <v>153</v>
      </c>
      <c r="B43" s="39">
        <f ca="1">(SUMIF(E3:E31,"*Eng*",B3:B31)+SUMIF(V3:AH31,"*Eng*",B3:B31))-F43</f>
        <v>2</v>
      </c>
      <c r="E43" s="1" t="s">
        <v>369</v>
      </c>
      <c r="F43" s="39">
        <f ca="1">SUMIF($E$3:$E$31,"*(Eng)*",$B$3:$B$31)+SUMIF($V$3:$AH$31,"*(Eng)*",$B$3:$B$31)</f>
        <v>0</v>
      </c>
    </row>
    <row r="44" spans="1:9" x14ac:dyDescent="0.2">
      <c r="A44" s="3" t="s">
        <v>154</v>
      </c>
      <c r="B44" s="39">
        <f ca="1">(SUMIF($E$3:$E$31,"*C3I*",$B$3:$B$31)+SUMIF($V$3:$AH$31,"*C3I*",$B$3:$B$31))-F44</f>
        <v>0</v>
      </c>
      <c r="E44" s="1" t="s">
        <v>370</v>
      </c>
      <c r="F44" s="39">
        <f ca="1">SUMIF($E$3:$E$31,"*(C3I)*",$B$3:$B$31)+SUMIF($V$3:$AH$31,"*(C3I)*",$B$3:$B$31)</f>
        <v>0</v>
      </c>
    </row>
    <row r="45" spans="1:9" x14ac:dyDescent="0.2">
      <c r="A45" s="3" t="s">
        <v>166</v>
      </c>
      <c r="B45" s="39">
        <f>SUMIF($E$3:$E$31,"*Rec*",$B$3:$B$31)</f>
        <v>0</v>
      </c>
    </row>
    <row r="71" spans="1:17" x14ac:dyDescent="0.2">
      <c r="A71" s="6"/>
      <c r="B71" s="9"/>
      <c r="C71" s="9"/>
      <c r="D71" s="9"/>
      <c r="E71" s="7"/>
      <c r="F71" s="7"/>
      <c r="G71" s="7"/>
      <c r="H71" s="17"/>
      <c r="I71" s="17"/>
      <c r="J71" s="7"/>
      <c r="K71" s="7"/>
      <c r="N71" s="13"/>
      <c r="O71" s="13"/>
      <c r="P71" s="13"/>
      <c r="Q71" s="13"/>
    </row>
    <row r="72" spans="1:17" x14ac:dyDescent="0.2">
      <c r="B72" s="4"/>
      <c r="C72" s="4"/>
      <c r="D72" s="4"/>
      <c r="H72" s="18"/>
      <c r="I72" s="19"/>
      <c r="J72" s="4"/>
      <c r="N72" s="13"/>
      <c r="O72" s="13"/>
      <c r="P72" s="13"/>
      <c r="Q72" s="13"/>
    </row>
    <row r="73" spans="1:17" x14ac:dyDescent="0.2">
      <c r="B73" s="4"/>
      <c r="C73" s="4"/>
      <c r="D73" s="4"/>
      <c r="H73" s="18"/>
      <c r="I73" s="19"/>
      <c r="J73" s="4"/>
      <c r="N73" s="12"/>
      <c r="O73"/>
      <c r="P73"/>
      <c r="Q73"/>
    </row>
    <row r="74" spans="1:17" hidden="1" x14ac:dyDescent="0.2">
      <c r="A74" s="23" t="s">
        <v>356</v>
      </c>
      <c r="B74" s="4"/>
      <c r="C74" s="4"/>
      <c r="D74" s="4"/>
      <c r="H74" s="18"/>
      <c r="I74" s="19"/>
      <c r="J74" s="4"/>
      <c r="N74" s="12"/>
      <c r="O74"/>
      <c r="P74"/>
      <c r="Q74"/>
    </row>
    <row r="75" spans="1:17" hidden="1" x14ac:dyDescent="0.2">
      <c r="A75" s="11" t="s">
        <v>101</v>
      </c>
      <c r="B75" s="13" t="s">
        <v>8</v>
      </c>
      <c r="C75" s="4"/>
      <c r="D75" s="4"/>
      <c r="E75" s="13" t="s">
        <v>167</v>
      </c>
      <c r="H75" s="18"/>
      <c r="I75" s="19"/>
      <c r="J75" s="4"/>
      <c r="N75" s="12"/>
      <c r="O75"/>
      <c r="P75"/>
      <c r="Q75"/>
    </row>
    <row r="76" spans="1:17" hidden="1" x14ac:dyDescent="0.2">
      <c r="A76" s="11" t="s">
        <v>210</v>
      </c>
      <c r="B76" s="13" t="s">
        <v>132</v>
      </c>
      <c r="C76" s="4"/>
      <c r="D76" s="4"/>
      <c r="E76" s="13" t="s">
        <v>132</v>
      </c>
      <c r="H76" s="18"/>
      <c r="I76" s="19"/>
      <c r="J76" s="4"/>
      <c r="N76" s="12"/>
      <c r="O76"/>
      <c r="P76"/>
      <c r="Q76"/>
    </row>
    <row r="77" spans="1:17" hidden="1" x14ac:dyDescent="0.2">
      <c r="A77" s="11" t="s">
        <v>211</v>
      </c>
      <c r="B77" s="12" t="s">
        <v>135</v>
      </c>
      <c r="C77" s="4"/>
      <c r="D77" s="4"/>
      <c r="E77" s="12" t="s">
        <v>168</v>
      </c>
      <c r="H77" s="18"/>
      <c r="I77" s="19"/>
      <c r="J77" s="4"/>
      <c r="N77" s="12"/>
      <c r="O77"/>
      <c r="P77"/>
      <c r="Q77"/>
    </row>
    <row r="78" spans="1:17" hidden="1" x14ac:dyDescent="0.2">
      <c r="A78" s="11" t="s">
        <v>212</v>
      </c>
      <c r="B78" s="12" t="s">
        <v>136</v>
      </c>
      <c r="C78" s="4"/>
      <c r="D78" s="4"/>
      <c r="E78" s="12" t="s">
        <v>169</v>
      </c>
      <c r="H78" s="18"/>
      <c r="I78" s="19"/>
      <c r="J78" s="4"/>
      <c r="N78"/>
      <c r="O78"/>
      <c r="P78"/>
      <c r="Q78"/>
    </row>
    <row r="79" spans="1:17" hidden="1" x14ac:dyDescent="0.2">
      <c r="A79" s="11" t="s">
        <v>41</v>
      </c>
      <c r="B79" s="12" t="s">
        <v>137</v>
      </c>
      <c r="C79" s="4"/>
      <c r="D79" s="4"/>
      <c r="E79" s="12" t="s">
        <v>170</v>
      </c>
      <c r="H79" s="18"/>
      <c r="I79" s="19"/>
      <c r="J79" s="4"/>
      <c r="N79"/>
      <c r="O79"/>
      <c r="P79"/>
      <c r="Q79"/>
    </row>
    <row r="80" spans="1:17" hidden="1" x14ac:dyDescent="0.2">
      <c r="A80" s="11" t="s">
        <v>45</v>
      </c>
      <c r="B80" s="12" t="s">
        <v>138</v>
      </c>
      <c r="C80" s="4"/>
      <c r="D80" s="4"/>
      <c r="E80" s="12" t="s">
        <v>171</v>
      </c>
      <c r="H80" s="18"/>
      <c r="I80" s="19"/>
      <c r="J80" s="4"/>
      <c r="N80"/>
      <c r="O80"/>
      <c r="P80"/>
      <c r="Q80"/>
    </row>
    <row r="81" spans="1:17" hidden="1" x14ac:dyDescent="0.2">
      <c r="A81" s="11" t="s">
        <v>214</v>
      </c>
      <c r="B81" s="12" t="s">
        <v>139</v>
      </c>
      <c r="C81" s="4"/>
      <c r="D81" s="4"/>
      <c r="E81" s="12" t="s">
        <v>172</v>
      </c>
      <c r="H81" s="18"/>
      <c r="I81" s="19"/>
      <c r="J81" s="4"/>
      <c r="N81" s="13"/>
      <c r="O81"/>
      <c r="P81"/>
      <c r="Q81"/>
    </row>
    <row r="82" spans="1:17" hidden="1" x14ac:dyDescent="0.2">
      <c r="A82" s="11" t="s">
        <v>216</v>
      </c>
      <c r="B82"/>
      <c r="C82" s="4"/>
      <c r="D82" s="4"/>
      <c r="E82" s="12" t="s">
        <v>173</v>
      </c>
      <c r="H82" s="18"/>
      <c r="I82" s="19"/>
      <c r="J82" s="4"/>
      <c r="N82" s="13"/>
      <c r="O82" s="13"/>
      <c r="P82" s="13"/>
      <c r="Q82" s="13"/>
    </row>
    <row r="83" spans="1:17" hidden="1" x14ac:dyDescent="0.2">
      <c r="A83" s="11" t="s">
        <v>217</v>
      </c>
      <c r="B83"/>
      <c r="C83" s="4"/>
      <c r="D83" s="4"/>
      <c r="E83" s="12" t="s">
        <v>174</v>
      </c>
      <c r="H83" s="18"/>
      <c r="I83" s="19"/>
      <c r="J83" s="4"/>
      <c r="N83" s="12"/>
      <c r="O83"/>
      <c r="P83"/>
      <c r="Q83"/>
    </row>
    <row r="84" spans="1:17" hidden="1" x14ac:dyDescent="0.2">
      <c r="A84" s="11" t="s">
        <v>218</v>
      </c>
      <c r="B84"/>
      <c r="C84" s="4"/>
      <c r="D84" s="4"/>
      <c r="E84" s="12" t="s">
        <v>175</v>
      </c>
      <c r="H84" s="18"/>
      <c r="I84" s="19"/>
      <c r="J84" s="4"/>
      <c r="N84" s="12"/>
      <c r="O84"/>
      <c r="P84"/>
      <c r="Q84"/>
    </row>
    <row r="85" spans="1:17" hidden="1" x14ac:dyDescent="0.2">
      <c r="A85" s="11" t="s">
        <v>219</v>
      </c>
      <c r="B85" s="13" t="s">
        <v>9</v>
      </c>
      <c r="C85" s="4"/>
      <c r="D85" s="4"/>
      <c r="E85" s="12" t="s">
        <v>176</v>
      </c>
      <c r="H85" s="18"/>
      <c r="I85" s="19"/>
      <c r="J85" s="4"/>
      <c r="N85" s="12"/>
      <c r="O85"/>
      <c r="P85"/>
      <c r="Q85"/>
    </row>
    <row r="86" spans="1:17" hidden="1" x14ac:dyDescent="0.2">
      <c r="A86" s="11" t="s">
        <v>57</v>
      </c>
      <c r="B86" s="13" t="s">
        <v>132</v>
      </c>
      <c r="C86" s="4"/>
      <c r="D86" s="4"/>
      <c r="E86" s="12" t="s">
        <v>177</v>
      </c>
      <c r="H86" s="18"/>
      <c r="I86" s="19"/>
      <c r="J86" s="4"/>
      <c r="N86" s="12"/>
      <c r="O86"/>
      <c r="P86"/>
      <c r="Q86"/>
    </row>
    <row r="87" spans="1:17" hidden="1" x14ac:dyDescent="0.2">
      <c r="A87" s="11" t="s">
        <v>220</v>
      </c>
      <c r="B87" s="12" t="s">
        <v>140</v>
      </c>
      <c r="C87" s="4"/>
      <c r="D87" s="4"/>
      <c r="E87" s="12" t="s">
        <v>178</v>
      </c>
      <c r="H87" s="18"/>
      <c r="I87" s="19"/>
      <c r="J87" s="4"/>
      <c r="N87"/>
      <c r="O87"/>
      <c r="P87"/>
      <c r="Q87"/>
    </row>
    <row r="88" spans="1:17" hidden="1" x14ac:dyDescent="0.2">
      <c r="A88" s="11" t="s">
        <v>222</v>
      </c>
      <c r="B88" s="12" t="s">
        <v>137</v>
      </c>
      <c r="C88" s="4"/>
      <c r="D88" s="4"/>
      <c r="E88" s="12" t="s">
        <v>24</v>
      </c>
      <c r="H88" s="18"/>
      <c r="I88" s="19"/>
      <c r="J88" s="4"/>
      <c r="N88"/>
      <c r="O88"/>
      <c r="P88"/>
      <c r="Q88"/>
    </row>
    <row r="89" spans="1:17" hidden="1" x14ac:dyDescent="0.2">
      <c r="A89" s="11" t="s">
        <v>223</v>
      </c>
      <c r="B89" s="12" t="s">
        <v>141</v>
      </c>
      <c r="C89" s="4"/>
      <c r="D89" s="4"/>
      <c r="E89" s="12" t="s">
        <v>179</v>
      </c>
      <c r="H89" s="18"/>
      <c r="I89" s="19"/>
      <c r="J89" s="4"/>
      <c r="N89" s="13"/>
      <c r="O89"/>
      <c r="P89"/>
      <c r="Q89"/>
    </row>
    <row r="90" spans="1:17" hidden="1" x14ac:dyDescent="0.2">
      <c r="A90" s="11" t="s">
        <v>319</v>
      </c>
      <c r="B90" s="12" t="s">
        <v>142</v>
      </c>
      <c r="C90" s="4"/>
      <c r="D90" s="4"/>
      <c r="E90" s="12" t="s">
        <v>180</v>
      </c>
      <c r="H90" s="18"/>
      <c r="I90" s="19"/>
      <c r="J90" s="4"/>
      <c r="N90"/>
      <c r="O90"/>
      <c r="P90"/>
      <c r="Q90"/>
    </row>
    <row r="91" spans="1:17" hidden="1" x14ac:dyDescent="0.2">
      <c r="A91" s="11" t="s">
        <v>225</v>
      </c>
      <c r="B91"/>
      <c r="C91" s="4"/>
      <c r="D91" s="4"/>
      <c r="E91" s="12" t="s">
        <v>89</v>
      </c>
      <c r="H91" s="18"/>
      <c r="I91" s="19"/>
      <c r="J91" s="4"/>
      <c r="N91"/>
      <c r="O91"/>
      <c r="P91"/>
      <c r="Q91"/>
    </row>
    <row r="92" spans="1:17" hidden="1" x14ac:dyDescent="0.2">
      <c r="A92" s="11" t="s">
        <v>226</v>
      </c>
      <c r="B92"/>
      <c r="C92" s="4"/>
      <c r="D92" s="4"/>
      <c r="E92" s="12" t="s">
        <v>181</v>
      </c>
      <c r="H92" s="18"/>
      <c r="I92" s="19"/>
      <c r="J92" s="4"/>
      <c r="N92"/>
      <c r="O92"/>
      <c r="P92"/>
      <c r="Q92"/>
    </row>
    <row r="93" spans="1:17" hidden="1" x14ac:dyDescent="0.2">
      <c r="A93" s="11" t="s">
        <v>227</v>
      </c>
      <c r="B93" s="13" t="s">
        <v>143</v>
      </c>
      <c r="C93" s="4"/>
      <c r="D93" s="4"/>
      <c r="E93" s="12" t="s">
        <v>182</v>
      </c>
      <c r="H93" s="18"/>
      <c r="I93" s="19"/>
      <c r="J93" s="4"/>
      <c r="N93"/>
      <c r="O93"/>
      <c r="P93"/>
      <c r="Q93"/>
    </row>
    <row r="94" spans="1:17" hidden="1" x14ac:dyDescent="0.2">
      <c r="A94" s="11" t="s">
        <v>229</v>
      </c>
      <c r="B94">
        <v>6</v>
      </c>
      <c r="C94" s="4"/>
      <c r="D94" s="4"/>
      <c r="E94" s="12" t="s">
        <v>183</v>
      </c>
      <c r="H94" s="18"/>
      <c r="I94" s="19"/>
      <c r="J94" s="4"/>
      <c r="N94"/>
      <c r="O94"/>
      <c r="P94"/>
      <c r="Q94"/>
    </row>
    <row r="95" spans="1:17" hidden="1" x14ac:dyDescent="0.2">
      <c r="A95" s="11" t="s">
        <v>231</v>
      </c>
      <c r="B95">
        <v>7</v>
      </c>
      <c r="C95" s="4"/>
      <c r="D95" s="4"/>
      <c r="E95" s="12" t="s">
        <v>184</v>
      </c>
      <c r="H95" s="18"/>
      <c r="I95" s="19"/>
      <c r="J95" s="4"/>
    </row>
    <row r="96" spans="1:17" hidden="1" x14ac:dyDescent="0.2">
      <c r="A96" s="11" t="s">
        <v>232</v>
      </c>
      <c r="B96">
        <v>8</v>
      </c>
      <c r="C96" s="4"/>
      <c r="D96" s="4"/>
      <c r="E96" s="12" t="s">
        <v>185</v>
      </c>
      <c r="H96" s="18"/>
      <c r="I96" s="19"/>
      <c r="J96" s="4"/>
    </row>
    <row r="97" spans="1:10" hidden="1" x14ac:dyDescent="0.2">
      <c r="A97" s="11" t="s">
        <v>234</v>
      </c>
      <c r="B97">
        <v>9</v>
      </c>
      <c r="C97" s="4"/>
      <c r="D97" s="4"/>
      <c r="E97" s="12" t="s">
        <v>186</v>
      </c>
      <c r="H97" s="18"/>
      <c r="I97" s="19"/>
      <c r="J97" s="4"/>
    </row>
    <row r="98" spans="1:10" hidden="1" x14ac:dyDescent="0.2">
      <c r="A98" s="11" t="s">
        <v>235</v>
      </c>
      <c r="B98">
        <v>10</v>
      </c>
      <c r="C98" s="4"/>
      <c r="D98" s="4"/>
      <c r="E98" s="12" t="s">
        <v>187</v>
      </c>
      <c r="H98" s="18"/>
      <c r="I98" s="19"/>
      <c r="J98" s="4"/>
    </row>
    <row r="99" spans="1:10" hidden="1" x14ac:dyDescent="0.2">
      <c r="A99" s="11" t="s">
        <v>236</v>
      </c>
      <c r="B99" s="4"/>
      <c r="C99" s="4"/>
      <c r="D99" s="4"/>
      <c r="E99" s="12" t="s">
        <v>188</v>
      </c>
      <c r="H99" s="18"/>
      <c r="I99" s="19"/>
      <c r="J99" s="4"/>
    </row>
    <row r="100" spans="1:10" hidden="1" x14ac:dyDescent="0.2">
      <c r="A100" s="11" t="s">
        <v>238</v>
      </c>
      <c r="B100" s="4"/>
      <c r="C100" s="4"/>
      <c r="D100" s="4"/>
      <c r="E100" s="12" t="s">
        <v>189</v>
      </c>
      <c r="H100" s="18"/>
      <c r="I100" s="19"/>
      <c r="J100" s="4"/>
    </row>
    <row r="101" spans="1:10" hidden="1" x14ac:dyDescent="0.2">
      <c r="A101" s="11" t="s">
        <v>239</v>
      </c>
      <c r="B101" s="4"/>
      <c r="C101" s="4"/>
      <c r="D101" s="4"/>
      <c r="E101" s="12" t="s">
        <v>190</v>
      </c>
      <c r="H101" s="18"/>
      <c r="I101" s="19"/>
      <c r="J101" s="4"/>
    </row>
    <row r="102" spans="1:10" hidden="1" x14ac:dyDescent="0.2">
      <c r="A102" s="11" t="s">
        <v>241</v>
      </c>
      <c r="B102" s="4"/>
      <c r="C102" s="4"/>
      <c r="D102" s="4"/>
      <c r="E102" s="12" t="s">
        <v>192</v>
      </c>
      <c r="H102" s="18"/>
      <c r="I102" s="19"/>
      <c r="J102" s="4"/>
    </row>
    <row r="103" spans="1:10" hidden="1" x14ac:dyDescent="0.2">
      <c r="A103" s="11" t="s">
        <v>243</v>
      </c>
      <c r="B103" s="4"/>
      <c r="C103" s="4"/>
      <c r="D103" s="4"/>
      <c r="E103" s="12" t="s">
        <v>191</v>
      </c>
      <c r="H103" s="18"/>
      <c r="I103" s="19"/>
      <c r="J103" s="4"/>
    </row>
    <row r="104" spans="1:10" hidden="1" x14ac:dyDescent="0.2">
      <c r="A104" s="11" t="s">
        <v>244</v>
      </c>
      <c r="B104" s="4"/>
      <c r="C104" s="4"/>
      <c r="D104" s="4"/>
      <c r="E104" s="12" t="s">
        <v>101</v>
      </c>
      <c r="H104" s="18"/>
      <c r="I104" s="19"/>
      <c r="J104" s="4"/>
    </row>
    <row r="105" spans="1:10" hidden="1" x14ac:dyDescent="0.2">
      <c r="A105" s="11" t="s">
        <v>245</v>
      </c>
      <c r="B105" s="4"/>
      <c r="C105" s="4"/>
      <c r="D105" s="4"/>
      <c r="F105" s="10"/>
      <c r="H105" s="20"/>
      <c r="I105" s="19"/>
      <c r="J105" s="4"/>
    </row>
    <row r="106" spans="1:10" hidden="1" x14ac:dyDescent="0.2">
      <c r="A106" s="11" t="s">
        <v>246</v>
      </c>
      <c r="B106" s="4"/>
      <c r="C106" s="4"/>
      <c r="D106" s="4"/>
      <c r="F106" s="10"/>
      <c r="H106" s="18"/>
      <c r="I106" s="19"/>
      <c r="J106" s="4"/>
    </row>
    <row r="107" spans="1:10" hidden="1" x14ac:dyDescent="0.2">
      <c r="A107" s="11" t="s">
        <v>247</v>
      </c>
      <c r="B107" s="4"/>
      <c r="C107" s="4"/>
      <c r="D107" s="4"/>
      <c r="F107" s="10"/>
      <c r="H107" s="20"/>
      <c r="I107" s="19"/>
      <c r="J107" s="4"/>
    </row>
    <row r="108" spans="1:10" hidden="1" x14ac:dyDescent="0.2">
      <c r="A108" s="11" t="s">
        <v>249</v>
      </c>
      <c r="B108" s="4"/>
      <c r="C108" s="4"/>
      <c r="D108" s="4"/>
      <c r="F108" s="10"/>
      <c r="G108" s="10"/>
      <c r="H108" s="20"/>
      <c r="I108" s="19"/>
      <c r="J108" s="4"/>
    </row>
    <row r="109" spans="1:10" hidden="1" x14ac:dyDescent="0.2">
      <c r="A109" s="11" t="s">
        <v>251</v>
      </c>
      <c r="B109" s="4"/>
      <c r="C109" s="4"/>
      <c r="D109" s="4"/>
      <c r="F109" s="10"/>
      <c r="G109" s="10"/>
      <c r="H109" s="20"/>
      <c r="I109" s="19"/>
      <c r="J109" s="4"/>
    </row>
    <row r="110" spans="1:10" hidden="1" x14ac:dyDescent="0.2">
      <c r="A110" s="11" t="s">
        <v>253</v>
      </c>
      <c r="B110" s="4"/>
      <c r="C110" s="4"/>
      <c r="D110" s="4"/>
      <c r="F110" s="10"/>
      <c r="G110" s="10"/>
      <c r="H110" s="20"/>
      <c r="I110" s="19"/>
      <c r="J110" s="4"/>
    </row>
    <row r="111" spans="1:10" hidden="1" x14ac:dyDescent="0.2">
      <c r="A111" s="11" t="s">
        <v>255</v>
      </c>
      <c r="B111" s="4"/>
      <c r="C111" s="4"/>
      <c r="D111" s="4"/>
      <c r="F111" s="10"/>
      <c r="G111" s="10"/>
      <c r="H111" s="20"/>
      <c r="I111" s="19"/>
      <c r="J111" s="4"/>
    </row>
    <row r="112" spans="1:10" hidden="1" x14ac:dyDescent="0.2">
      <c r="A112" s="11" t="s">
        <v>258</v>
      </c>
      <c r="B112" s="4"/>
      <c r="C112" s="4"/>
      <c r="D112" s="4"/>
      <c r="F112" s="10"/>
      <c r="G112" s="10"/>
      <c r="H112" s="20"/>
      <c r="I112" s="19"/>
      <c r="J112" s="4"/>
    </row>
    <row r="113" spans="1:10" hidden="1" x14ac:dyDescent="0.2">
      <c r="A113" s="11" t="s">
        <v>259</v>
      </c>
      <c r="B113" s="4"/>
      <c r="C113" s="4"/>
      <c r="D113" s="4"/>
      <c r="F113" s="10"/>
      <c r="G113" s="10"/>
      <c r="H113" s="20"/>
      <c r="I113" s="19"/>
      <c r="J113" s="4"/>
    </row>
    <row r="114" spans="1:10" hidden="1" x14ac:dyDescent="0.2">
      <c r="A114" s="11" t="s">
        <v>261</v>
      </c>
      <c r="B114" s="4"/>
      <c r="C114" s="4"/>
      <c r="D114" s="4"/>
      <c r="F114" s="10"/>
      <c r="G114" s="10"/>
      <c r="H114" s="20"/>
      <c r="I114" s="19"/>
      <c r="J114" s="4"/>
    </row>
    <row r="115" spans="1:10" hidden="1" x14ac:dyDescent="0.2">
      <c r="A115" s="11" t="s">
        <v>262</v>
      </c>
      <c r="B115" s="4"/>
      <c r="C115" s="4"/>
      <c r="D115" s="4"/>
      <c r="F115" s="10"/>
      <c r="G115" s="10"/>
      <c r="H115" s="20"/>
      <c r="I115" s="19"/>
      <c r="J115" s="4"/>
    </row>
    <row r="116" spans="1:10" hidden="1" x14ac:dyDescent="0.2">
      <c r="A116" s="11" t="s">
        <v>263</v>
      </c>
      <c r="B116" s="4"/>
      <c r="C116" s="4"/>
      <c r="D116" s="4"/>
      <c r="F116" s="10"/>
      <c r="G116" s="10"/>
      <c r="H116" s="20"/>
      <c r="I116" s="19"/>
      <c r="J116" s="4"/>
    </row>
    <row r="117" spans="1:10" hidden="1" x14ac:dyDescent="0.2">
      <c r="A117" s="11" t="s">
        <v>265</v>
      </c>
      <c r="B117" s="4"/>
      <c r="C117" s="4"/>
      <c r="D117" s="4"/>
      <c r="F117" s="10"/>
      <c r="G117" s="10"/>
      <c r="H117" s="20"/>
      <c r="I117" s="19"/>
      <c r="J117" s="4"/>
    </row>
    <row r="118" spans="1:10" hidden="1" x14ac:dyDescent="0.2">
      <c r="A118" s="11" t="s">
        <v>268</v>
      </c>
      <c r="B118" s="4"/>
      <c r="C118" s="4"/>
      <c r="D118" s="4"/>
      <c r="F118" s="10"/>
      <c r="G118" s="10"/>
      <c r="H118" s="20"/>
      <c r="I118" s="19"/>
      <c r="J118" s="4"/>
    </row>
    <row r="119" spans="1:10" hidden="1" x14ac:dyDescent="0.2">
      <c r="A119" s="11" t="s">
        <v>270</v>
      </c>
      <c r="B119" s="4"/>
      <c r="C119" s="4"/>
      <c r="D119" s="4"/>
      <c r="F119" s="10"/>
      <c r="H119" s="20"/>
      <c r="I119" s="19"/>
      <c r="J119" s="4"/>
    </row>
    <row r="120" spans="1:10" hidden="1" x14ac:dyDescent="0.2">
      <c r="A120" s="11" t="s">
        <v>272</v>
      </c>
      <c r="B120" s="4"/>
      <c r="C120" s="4"/>
      <c r="D120" s="4"/>
      <c r="F120" s="10"/>
      <c r="H120" s="20"/>
      <c r="I120" s="19"/>
      <c r="J120" s="4"/>
    </row>
    <row r="121" spans="1:10" hidden="1" x14ac:dyDescent="0.2">
      <c r="A121" s="11" t="s">
        <v>273</v>
      </c>
      <c r="B121" s="4"/>
      <c r="C121" s="4"/>
      <c r="D121" s="4"/>
      <c r="F121" s="10"/>
      <c r="H121" s="20"/>
      <c r="I121" s="19"/>
      <c r="J121" s="4"/>
    </row>
    <row r="122" spans="1:10" hidden="1" x14ac:dyDescent="0.2">
      <c r="A122" s="11" t="s">
        <v>274</v>
      </c>
      <c r="B122" s="4"/>
      <c r="C122" s="4"/>
      <c r="D122" s="4"/>
      <c r="F122" s="10"/>
      <c r="G122" s="10"/>
      <c r="H122" s="20"/>
      <c r="I122" s="19"/>
      <c r="J122" s="4"/>
    </row>
    <row r="123" spans="1:10" hidden="1" x14ac:dyDescent="0.2">
      <c r="A123" s="11" t="s">
        <v>276</v>
      </c>
      <c r="B123" s="4"/>
      <c r="C123" s="4"/>
      <c r="D123" s="4"/>
      <c r="F123" s="10"/>
      <c r="H123" s="20"/>
      <c r="I123" s="19"/>
      <c r="J123" s="4"/>
    </row>
    <row r="124" spans="1:10" hidden="1" x14ac:dyDescent="0.2">
      <c r="A124" s="11" t="s">
        <v>278</v>
      </c>
      <c r="B124" s="4"/>
      <c r="C124" s="4"/>
      <c r="D124" s="4"/>
      <c r="F124" s="10"/>
      <c r="H124" s="20"/>
      <c r="I124" s="19"/>
      <c r="J124" s="4"/>
    </row>
    <row r="125" spans="1:10" hidden="1" x14ac:dyDescent="0.2">
      <c r="A125" s="11" t="s">
        <v>279</v>
      </c>
      <c r="B125" s="4"/>
      <c r="C125" s="4"/>
      <c r="D125" s="4"/>
      <c r="F125" s="10"/>
      <c r="G125" s="10"/>
      <c r="H125" s="20"/>
      <c r="I125" s="19"/>
      <c r="J125" s="4"/>
    </row>
    <row r="126" spans="1:10" hidden="1" x14ac:dyDescent="0.2">
      <c r="A126" s="11" t="s">
        <v>280</v>
      </c>
      <c r="B126" s="4"/>
      <c r="C126" s="4"/>
      <c r="D126" s="4"/>
      <c r="F126" s="10"/>
      <c r="G126" s="10"/>
      <c r="H126" s="20"/>
      <c r="I126" s="19"/>
      <c r="J126" s="4"/>
    </row>
    <row r="127" spans="1:10" x14ac:dyDescent="0.2">
      <c r="A127" s="11"/>
      <c r="B127" s="4"/>
      <c r="C127" s="4"/>
      <c r="D127" s="4"/>
      <c r="F127" s="10"/>
      <c r="H127" s="20"/>
      <c r="I127" s="19"/>
      <c r="J127" s="4"/>
    </row>
    <row r="128" spans="1:10" x14ac:dyDescent="0.2">
      <c r="A128" s="11"/>
      <c r="B128" s="4"/>
      <c r="C128" s="4"/>
      <c r="D128" s="4"/>
      <c r="F128" s="10"/>
      <c r="H128" s="20"/>
      <c r="I128" s="19"/>
      <c r="J128" s="4"/>
    </row>
    <row r="129" spans="1:11" x14ac:dyDescent="0.2">
      <c r="A129" s="11"/>
      <c r="B129" s="4"/>
      <c r="C129" s="4"/>
      <c r="D129" s="4"/>
      <c r="F129" s="10"/>
      <c r="H129" s="20"/>
      <c r="I129" s="19"/>
      <c r="J129" s="4"/>
    </row>
    <row r="130" spans="1:11" x14ac:dyDescent="0.2">
      <c r="A130" s="11"/>
      <c r="B130" s="4"/>
      <c r="C130" s="4"/>
      <c r="D130" s="4"/>
      <c r="F130" s="10"/>
      <c r="G130" s="10"/>
      <c r="H130" s="20"/>
      <c r="I130" s="19"/>
      <c r="J130" s="4"/>
    </row>
    <row r="131" spans="1:11" x14ac:dyDescent="0.2">
      <c r="A131" s="11"/>
      <c r="B131" s="4"/>
      <c r="C131" s="4"/>
      <c r="D131" s="4"/>
      <c r="F131" s="10"/>
      <c r="H131" s="20"/>
      <c r="I131" s="19"/>
      <c r="J131" s="4"/>
    </row>
    <row r="132" spans="1:11" x14ac:dyDescent="0.2">
      <c r="A132" s="11"/>
      <c r="B132" s="4"/>
      <c r="C132" s="4"/>
      <c r="D132" s="4"/>
      <c r="F132" s="10"/>
      <c r="H132" s="20"/>
      <c r="I132" s="19"/>
      <c r="J132" s="4"/>
    </row>
    <row r="133" spans="1:11" x14ac:dyDescent="0.2">
      <c r="A133" s="11"/>
      <c r="B133" s="4"/>
      <c r="C133" s="4"/>
      <c r="D133" s="4"/>
      <c r="F133" s="10"/>
      <c r="H133" s="20"/>
      <c r="I133" s="19"/>
      <c r="J133" s="4"/>
    </row>
    <row r="134" spans="1:11" x14ac:dyDescent="0.2">
      <c r="A134" s="11"/>
      <c r="B134" s="4"/>
      <c r="C134" s="4"/>
      <c r="D134" s="4"/>
      <c r="F134" s="10"/>
      <c r="H134" s="20"/>
      <c r="I134" s="19"/>
      <c r="J134" s="4"/>
    </row>
    <row r="135" spans="1:11" x14ac:dyDescent="0.2">
      <c r="A135" s="11"/>
      <c r="B135" s="4"/>
      <c r="C135" s="4"/>
      <c r="D135" s="4"/>
      <c r="F135" s="10"/>
      <c r="H135" s="20"/>
      <c r="I135" s="19"/>
      <c r="J135" s="4"/>
    </row>
    <row r="136" spans="1:11" x14ac:dyDescent="0.2">
      <c r="A136" s="11"/>
      <c r="B136" s="4"/>
      <c r="C136" s="4"/>
      <c r="D136" s="4"/>
      <c r="F136" s="10"/>
      <c r="H136" s="20"/>
      <c r="I136" s="19"/>
      <c r="J136" s="4"/>
    </row>
    <row r="137" spans="1:11" x14ac:dyDescent="0.2">
      <c r="A137" s="11"/>
      <c r="B137" s="14"/>
      <c r="C137" s="14"/>
      <c r="D137" s="14"/>
      <c r="E137" s="10"/>
      <c r="F137" s="10"/>
      <c r="G137" s="10"/>
      <c r="H137" s="20"/>
      <c r="I137" s="21"/>
      <c r="J137" s="14"/>
      <c r="K137" s="10"/>
    </row>
  </sheetData>
  <phoneticPr fontId="1" type="noConversion"/>
  <dataValidations count="4">
    <dataValidation type="list" allowBlank="1" showInputMessage="1" showErrorMessage="1" sqref="A3:A31">
      <formula1>$A$75:$A$126</formula1>
    </dataValidation>
    <dataValidation type="list" allowBlank="1" showInputMessage="1" showErrorMessage="1" sqref="N3:N31">
      <formula1>$B$77:$B$81</formula1>
    </dataValidation>
    <dataValidation type="list" allowBlank="1" showInputMessage="1" showErrorMessage="1" sqref="R3:R31">
      <formula1>$B$87:$B$90</formula1>
    </dataValidation>
    <dataValidation type="list" allowBlank="1" showInputMessage="1" showErrorMessage="1" sqref="V3:AH31">
      <formula1>$E$77:$E$104</formula1>
    </dataValidation>
  </dataValidation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K137"/>
  <sheetViews>
    <sheetView workbookViewId="0">
      <selection activeCell="B1" sqref="B1"/>
    </sheetView>
  </sheetViews>
  <sheetFormatPr defaultRowHeight="12.75" x14ac:dyDescent="0.2"/>
  <cols>
    <col min="1" max="1" width="23.42578125" style="5" customWidth="1"/>
    <col min="2" max="2" width="15.42578125" style="2" bestFit="1" customWidth="1"/>
    <col min="3" max="3" width="12.7109375" style="2" hidden="1" customWidth="1"/>
    <col min="4" max="4" width="12.7109375" style="62" hidden="1" customWidth="1"/>
    <col min="5" max="5" width="17" style="2" bestFit="1" customWidth="1"/>
    <col min="6" max="6" width="7.42578125" style="2" customWidth="1"/>
    <col min="7" max="7" width="8.42578125" style="2" customWidth="1"/>
    <col min="8" max="8" width="15.85546875" style="16" bestFit="1" customWidth="1"/>
    <col min="9" max="9" width="12" style="16" customWidth="1"/>
    <col min="10" max="10" width="8.140625" style="2" customWidth="1"/>
    <col min="11" max="11" width="7.85546875" style="2" hidden="1" customWidth="1"/>
    <col min="12" max="12" width="11.140625" style="2" customWidth="1"/>
    <col min="13" max="13" width="19.5703125" style="2" customWidth="1"/>
    <col min="14" max="14" width="18" style="2" bestFit="1" customWidth="1"/>
    <col min="15" max="15" width="13.85546875" style="2" hidden="1" customWidth="1"/>
    <col min="16" max="17" width="16.42578125" style="2" hidden="1" customWidth="1"/>
    <col min="18" max="18" width="13.42578125" style="2" bestFit="1" customWidth="1"/>
    <col min="19" max="19" width="14" style="2" hidden="1" customWidth="1"/>
    <col min="20" max="21" width="16.5703125" style="2" hidden="1" customWidth="1"/>
    <col min="22" max="22" width="13.7109375" style="2" customWidth="1"/>
    <col min="23" max="25" width="13.7109375" style="2" hidden="1" customWidth="1"/>
    <col min="26" max="26" width="13.7109375" style="2" customWidth="1"/>
    <col min="27" max="29" width="13.7109375" style="2" hidden="1" customWidth="1"/>
    <col min="30" max="30" width="13.7109375" style="2" customWidth="1"/>
    <col min="31" max="33" width="13.7109375" style="2" hidden="1" customWidth="1"/>
    <col min="34" max="34" width="13.7109375" style="2" customWidth="1"/>
    <col min="35" max="37" width="13.7109375" style="2" hidden="1" customWidth="1"/>
    <col min="38" max="16384" width="9.140625" style="2"/>
  </cols>
  <sheetData>
    <row r="1" spans="1:37" x14ac:dyDescent="0.2">
      <c r="A1" s="23" t="s">
        <v>209</v>
      </c>
      <c r="B1" s="10" t="s">
        <v>158</v>
      </c>
    </row>
    <row r="2" spans="1:37" x14ac:dyDescent="0.2">
      <c r="A2" s="3" t="s">
        <v>0</v>
      </c>
      <c r="B2" s="1" t="s">
        <v>1</v>
      </c>
      <c r="C2" s="1" t="s">
        <v>56</v>
      </c>
      <c r="D2" s="1" t="s">
        <v>414</v>
      </c>
      <c r="E2" s="1" t="s">
        <v>2</v>
      </c>
      <c r="F2" s="1" t="s">
        <v>3</v>
      </c>
      <c r="G2" s="1" t="s">
        <v>4</v>
      </c>
      <c r="H2" s="15" t="s">
        <v>5</v>
      </c>
      <c r="I2" s="15" t="s">
        <v>6</v>
      </c>
      <c r="J2" s="1" t="s">
        <v>7</v>
      </c>
      <c r="K2" s="1" t="s">
        <v>16</v>
      </c>
      <c r="L2" s="1" t="s">
        <v>156</v>
      </c>
      <c r="M2" s="1" t="s">
        <v>155</v>
      </c>
      <c r="N2" s="1" t="s">
        <v>8</v>
      </c>
      <c r="O2" s="1" t="s">
        <v>12</v>
      </c>
      <c r="P2" s="1" t="s">
        <v>10</v>
      </c>
      <c r="Q2" s="1" t="s">
        <v>11</v>
      </c>
      <c r="R2" s="1" t="s">
        <v>9</v>
      </c>
      <c r="S2" s="1" t="s">
        <v>13</v>
      </c>
      <c r="T2" s="1" t="s">
        <v>14</v>
      </c>
      <c r="U2" s="1" t="s">
        <v>15</v>
      </c>
      <c r="V2" s="1" t="s">
        <v>193</v>
      </c>
      <c r="W2" s="10" t="s">
        <v>195</v>
      </c>
      <c r="X2" s="10" t="s">
        <v>196</v>
      </c>
      <c r="Y2" s="10" t="s">
        <v>197</v>
      </c>
      <c r="Z2" s="1" t="s">
        <v>194</v>
      </c>
      <c r="AA2" s="10" t="s">
        <v>198</v>
      </c>
      <c r="AB2" s="10" t="s">
        <v>199</v>
      </c>
      <c r="AC2" s="10" t="s">
        <v>200</v>
      </c>
      <c r="AD2" s="1" t="s">
        <v>201</v>
      </c>
      <c r="AE2" s="10" t="s">
        <v>202</v>
      </c>
      <c r="AF2" s="10" t="s">
        <v>203</v>
      </c>
      <c r="AG2" s="10" t="s">
        <v>204</v>
      </c>
      <c r="AH2" s="1" t="s">
        <v>205</v>
      </c>
      <c r="AI2" s="10" t="s">
        <v>206</v>
      </c>
      <c r="AJ2" s="10" t="s">
        <v>207</v>
      </c>
      <c r="AK2" s="10" t="s">
        <v>208</v>
      </c>
    </row>
    <row r="3" spans="1:37" x14ac:dyDescent="0.2">
      <c r="A3" s="5" t="s">
        <v>101</v>
      </c>
      <c r="B3" s="43">
        <f>((((VLOOKUP($A3,'TL0-5 Elements'!$A$2:$I$53,2,FALSE))*K3)*L3)*(1+O3+S3+W3+AA3+AE3+AI3))*M3</f>
        <v>0</v>
      </c>
      <c r="C3" s="43" t="str">
        <f>VLOOKUP($A3,'TL0-5 Elements'!$A$2:$I$53,3,FALSE)</f>
        <v>-</v>
      </c>
      <c r="D3" s="43">
        <f>IF(AND(COUNTIF(E3:E3,"*C3I*"),C3=1),B3*-0.1,0)</f>
        <v>0</v>
      </c>
      <c r="E3" s="43" t="str">
        <f>VLOOKUP($A3,'TL0-5 Elements'!$A$2:$I$53,4,FALSE)</f>
        <v>-</v>
      </c>
      <c r="F3" s="43" t="str">
        <f>VLOOKUP($A3,'TL0-5 Elements'!$A$2:$I$53,5,FALSE)</f>
        <v>-</v>
      </c>
      <c r="G3" s="43" t="str">
        <f>VLOOKUP($A3,'TL0-5 Elements'!$A$2:$I$53,6,FALSE)</f>
        <v>-</v>
      </c>
      <c r="H3" s="45">
        <f>(((VLOOKUP($A3,'TL0-5 Elements'!$A$2:$I$53,7,FALSE))*L3)*(1+P3+T3+X3+AB3+AF3+AJ3))*M3</f>
        <v>0</v>
      </c>
      <c r="I3" s="45">
        <f>(((VLOOKUP($A3,'TL0-5 Elements'!$A$2:$I$53,8,FALSE))*L3)*(1+Q3+U3+Y3+AC3+AG3+AK3))*M3</f>
        <v>0</v>
      </c>
      <c r="J3" s="43">
        <f>VLOOKUP(A3,'TL0-5 Elements'!$A$2:$I$53,9,FALSE)</f>
        <v>0</v>
      </c>
      <c r="K3" s="2">
        <f>IF(VLOOKUP($A3,'TL0-5 Elements'!$A$2:$I$53,9,FALSE)-$J3=0,1,IF(VLOOKUP($A3,'TL0-5 Elements'!$A$2:$I$53,9,FALSE)-$J3=-1,2,IF(VLOOKUP($A3,'TL0-5 Elements'!$A$2:$I$53,9,FALSE)-$J3=-2,4,IF(VLOOKUP($A3,'TL0-5 Elements'!$A$2:$I$53,9,FALSE)-$J3=-3,8,IF(VLOOKUP($A3,'TL0-5 Elements'!$A$2:$I$53,9,FALSE)-$J3=-4,16,"Invalid")))))</f>
        <v>1</v>
      </c>
      <c r="L3" s="10">
        <v>1</v>
      </c>
      <c r="M3" s="44">
        <v>1</v>
      </c>
      <c r="N3" s="2" t="s">
        <v>138</v>
      </c>
      <c r="O3" s="2">
        <f>VLOOKUP(N3,'Equipment &amp; Troop Q'!$A$3:$D$7,2,FALSE)</f>
        <v>0</v>
      </c>
      <c r="P3" s="2">
        <f>VLOOKUP($N3,'Equipment &amp; Troop Q'!$A$3:$D$7,3,FALSE)</f>
        <v>0</v>
      </c>
      <c r="Q3" s="2">
        <f>VLOOKUP($N3,'Equipment &amp; Troop Q'!$A$3:$D$7,4,FALSE)</f>
        <v>0</v>
      </c>
      <c r="R3" s="2" t="s">
        <v>141</v>
      </c>
      <c r="S3" s="2">
        <f>VLOOKUP($R3,'Equipment &amp; Troop Q'!$A$13:$D$16,2,FALSE)</f>
        <v>0</v>
      </c>
      <c r="T3" s="2">
        <f>IF(OR(V3="Fanatic",Z3="Fanatic",AD3="Fanatic",AH3="Fanatic"),VLOOKUP($R3,'Equipment &amp; Troop Q'!$A$18:$D$19,3,FALSE),VLOOKUP($R3,'Equipment &amp; Troop Q'!$A$13:$D$16,3,FALSE))</f>
        <v>0</v>
      </c>
      <c r="U3" s="2">
        <f>VLOOKUP($R3,'Equipment &amp; Troop Q'!$A$13:$D$16,4,FALSE)</f>
        <v>0</v>
      </c>
      <c r="V3" s="2" t="s">
        <v>101</v>
      </c>
      <c r="W3" s="2">
        <f>VLOOKUP($V3,'Equipment &amp; Troop Q'!$F$3:$I$30,2,FALSE)</f>
        <v>0</v>
      </c>
      <c r="X3" s="2">
        <f>VLOOKUP($V3,'Equipment &amp; Troop Q'!$F$3:$I$30,3,FALSE)</f>
        <v>0</v>
      </c>
      <c r="Y3" s="2">
        <f>VLOOKUP($V3,'Equipment &amp; Troop Q'!$F$3:$I$30,4,FALSE)</f>
        <v>0</v>
      </c>
      <c r="Z3" s="2" t="s">
        <v>101</v>
      </c>
      <c r="AA3" s="2">
        <f>VLOOKUP($Z3,'Equipment &amp; Troop Q'!$F$3:$I$30,2,FALSE)</f>
        <v>0</v>
      </c>
      <c r="AB3" s="2">
        <f>VLOOKUP($Z3,'Equipment &amp; Troop Q'!$F$3:$I$30,3,FALSE)</f>
        <v>0</v>
      </c>
      <c r="AC3" s="2">
        <f>VLOOKUP($Z3,'Equipment &amp; Troop Q'!$F$3:$I$30,4,FALSE)</f>
        <v>0</v>
      </c>
      <c r="AD3" s="2" t="s">
        <v>101</v>
      </c>
      <c r="AE3" s="2">
        <f>VLOOKUP($AD3,'Equipment &amp; Troop Q'!$F$3:$I$30,2,FALSE)</f>
        <v>0</v>
      </c>
      <c r="AF3" s="2">
        <f>VLOOKUP($AD3,'Equipment &amp; Troop Q'!$F$3:$I$30,3,FALSE)</f>
        <v>0</v>
      </c>
      <c r="AG3" s="2">
        <f>VLOOKUP($AD3,'Equipment &amp; Troop Q'!$F$3:$I$30,4,FALSE)</f>
        <v>0</v>
      </c>
      <c r="AH3" s="2" t="s">
        <v>101</v>
      </c>
      <c r="AI3" s="2">
        <f>VLOOKUP($AH3,'Equipment &amp; Troop Q'!$F$3:$I$30,2,FALSE)</f>
        <v>0</v>
      </c>
      <c r="AJ3" s="2">
        <f>VLOOKUP($AH3,'Equipment &amp; Troop Q'!$F$3:$I$30,3,FALSE)</f>
        <v>0</v>
      </c>
      <c r="AK3" s="2">
        <f>VLOOKUP($AH3,'Equipment &amp; Troop Q'!$F$3:$I$30,4,FALSE)</f>
        <v>0</v>
      </c>
    </row>
    <row r="4" spans="1:37" x14ac:dyDescent="0.2">
      <c r="A4" s="5" t="s">
        <v>101</v>
      </c>
      <c r="B4" s="43">
        <f>((((VLOOKUP($A4,'TL0-5 Elements'!$A$2:$I$53,2,FALSE))*K4)*L4)*(1+O4+S4+W4+AA4+AE4+AI4))*M4</f>
        <v>0</v>
      </c>
      <c r="C4" s="43" t="str">
        <f>VLOOKUP($A4,'TL0-5 Elements'!$A$2:$I$53,3,FALSE)</f>
        <v>-</v>
      </c>
      <c r="D4" s="43">
        <f>IF(AND(COUNTIF(E4:E4,"*C3I*"),C4=1),B4*-0.1,0)</f>
        <v>0</v>
      </c>
      <c r="E4" s="43" t="str">
        <f>VLOOKUP($A4,'TL0-5 Elements'!$A$2:$I$53,4,FALSE)</f>
        <v>-</v>
      </c>
      <c r="F4" s="43" t="str">
        <f>VLOOKUP($A4,'TL0-5 Elements'!$A$2:$I$53,5,FALSE)</f>
        <v>-</v>
      </c>
      <c r="G4" s="43" t="str">
        <f>VLOOKUP($A4,'TL0-5 Elements'!$A$2:$I$53,6,FALSE)</f>
        <v>-</v>
      </c>
      <c r="H4" s="45">
        <f>(((VLOOKUP($A4,'TL0-5 Elements'!$A$2:$I$53,7,FALSE))*L4)*(1+P4+T4+X4+AB4+AF4+AJ4))*M4</f>
        <v>0</v>
      </c>
      <c r="I4" s="45">
        <f>(((VLOOKUP($A4,'TL0-5 Elements'!$A$2:$I$53,8,FALSE))*L4)*(1+Q4+U4+Y4+AC4+AG4+AK4))*M4</f>
        <v>0</v>
      </c>
      <c r="J4" s="43">
        <f>VLOOKUP(A4,'TL0-5 Elements'!$A$2:$I$53,9,FALSE)</f>
        <v>0</v>
      </c>
      <c r="K4" s="2">
        <f>IF(VLOOKUP($A4,'TL0-5 Elements'!$A$2:$I$53,9,FALSE)-$J4=0,1,IF(VLOOKUP($A4,'TL0-5 Elements'!$A$2:$I$53,9,FALSE)-$J4=-1,2,IF(VLOOKUP($A4,'TL0-5 Elements'!$A$2:$I$53,9,FALSE)-$J4=-2,4,IF(VLOOKUP($A4,'TL0-5 Elements'!$A$2:$I$53,9,FALSE)-$J4=-3,8,IF(VLOOKUP($A4,'TL0-5 Elements'!$A$2:$I$53,9,FALSE)-$J4=-4,16,"Invalid")))))</f>
        <v>1</v>
      </c>
      <c r="L4" s="10">
        <v>1</v>
      </c>
      <c r="M4" s="44">
        <v>1</v>
      </c>
      <c r="N4" s="2" t="s">
        <v>138</v>
      </c>
      <c r="O4" s="2">
        <f>VLOOKUP(N4,'Equipment &amp; Troop Q'!$A$3:$D$7,2,FALSE)</f>
        <v>0</v>
      </c>
      <c r="P4" s="2">
        <f>VLOOKUP($N4,'Equipment &amp; Troop Q'!$A$3:$D$7,3,FALSE)</f>
        <v>0</v>
      </c>
      <c r="Q4" s="2">
        <f>VLOOKUP($N4,'Equipment &amp; Troop Q'!$A$3:$D$7,4,FALSE)</f>
        <v>0</v>
      </c>
      <c r="R4" s="2" t="s">
        <v>141</v>
      </c>
      <c r="S4" s="2">
        <f>VLOOKUP($R4,'Equipment &amp; Troop Q'!$A$13:$D$16,2,FALSE)</f>
        <v>0</v>
      </c>
      <c r="T4" s="2">
        <f>IF(OR(V4="Fanatic",Z4="Fanatic",AD4="Fanatic",AH4="Fanatic"),VLOOKUP($R4,'Equipment &amp; Troop Q'!$A$18:$D$19,3,FALSE),VLOOKUP($R4,'Equipment &amp; Troop Q'!$A$13:$D$16,3,FALSE))</f>
        <v>0</v>
      </c>
      <c r="U4" s="2">
        <f>VLOOKUP($R4,'Equipment &amp; Troop Q'!$A$13:$D$16,4,FALSE)</f>
        <v>0</v>
      </c>
      <c r="V4" s="2" t="s">
        <v>101</v>
      </c>
      <c r="W4" s="2">
        <f>VLOOKUP($V4,'Equipment &amp; Troop Q'!$F$3:$I$30,2,FALSE)</f>
        <v>0</v>
      </c>
      <c r="X4" s="2">
        <f>VLOOKUP($V4,'Equipment &amp; Troop Q'!$F$3:$I$30,3,FALSE)</f>
        <v>0</v>
      </c>
      <c r="Y4" s="2">
        <f>VLOOKUP($V4,'Equipment &amp; Troop Q'!$F$3:$I$30,4,FALSE)</f>
        <v>0</v>
      </c>
      <c r="Z4" s="2" t="s">
        <v>101</v>
      </c>
      <c r="AA4" s="2">
        <f>VLOOKUP($Z4,'Equipment &amp; Troop Q'!$F$3:$I$30,2,FALSE)</f>
        <v>0</v>
      </c>
      <c r="AB4" s="2">
        <f>VLOOKUP($Z4,'Equipment &amp; Troop Q'!$F$3:$I$30,3,FALSE)</f>
        <v>0</v>
      </c>
      <c r="AC4" s="2">
        <f>VLOOKUP($Z4,'Equipment &amp; Troop Q'!$F$3:$I$30,4,FALSE)</f>
        <v>0</v>
      </c>
      <c r="AD4" s="2" t="s">
        <v>101</v>
      </c>
      <c r="AE4" s="2">
        <f>VLOOKUP($AD4,'Equipment &amp; Troop Q'!$F$3:$I$30,2,FALSE)</f>
        <v>0</v>
      </c>
      <c r="AF4" s="2">
        <f>VLOOKUP($AD4,'Equipment &amp; Troop Q'!$F$3:$I$30,3,FALSE)</f>
        <v>0</v>
      </c>
      <c r="AG4" s="2">
        <f>VLOOKUP($AD4,'Equipment &amp; Troop Q'!$F$3:$I$30,4,FALSE)</f>
        <v>0</v>
      </c>
      <c r="AH4" s="2" t="s">
        <v>101</v>
      </c>
      <c r="AI4" s="2">
        <f>VLOOKUP($AH4,'Equipment &amp; Troop Q'!$F$3:$I$30,2,FALSE)</f>
        <v>0</v>
      </c>
      <c r="AJ4" s="2">
        <f>VLOOKUP($AH4,'Equipment &amp; Troop Q'!$F$3:$I$30,3,FALSE)</f>
        <v>0</v>
      </c>
      <c r="AK4" s="2">
        <f>VLOOKUP($AH4,'Equipment &amp; Troop Q'!$F$3:$I$30,4,FALSE)</f>
        <v>0</v>
      </c>
    </row>
    <row r="5" spans="1:37" x14ac:dyDescent="0.2">
      <c r="A5" s="5" t="s">
        <v>101</v>
      </c>
      <c r="B5" s="43">
        <f>((((VLOOKUP($A5,'TL0-5 Elements'!$A$2:$I$53,2,FALSE))*K5)*L5)*(1+O5+S5+W5+AA5+AE5+AI5))*M5</f>
        <v>0</v>
      </c>
      <c r="C5" s="43" t="str">
        <f>VLOOKUP($A5,'TL0-5 Elements'!$A$2:$I$53,3,FALSE)</f>
        <v>-</v>
      </c>
      <c r="D5" s="43">
        <f>IF(AND(COUNTIF(E5:E5,"*C3I*"),C5=1),B5*-0.1,0)</f>
        <v>0</v>
      </c>
      <c r="E5" s="43" t="str">
        <f>VLOOKUP($A5,'TL0-5 Elements'!$A$2:$I$53,4,FALSE)</f>
        <v>-</v>
      </c>
      <c r="F5" s="43" t="str">
        <f>VLOOKUP($A5,'TL0-5 Elements'!$A$2:$I$53,5,FALSE)</f>
        <v>-</v>
      </c>
      <c r="G5" s="43" t="str">
        <f>VLOOKUP($A5,'TL0-5 Elements'!$A$2:$I$53,6,FALSE)</f>
        <v>-</v>
      </c>
      <c r="H5" s="45">
        <f>(((VLOOKUP($A5,'TL0-5 Elements'!$A$2:$I$53,7,FALSE))*L5)*(1+P5+T5+X5+AB5+AF5+AJ5))*M5</f>
        <v>0</v>
      </c>
      <c r="I5" s="45">
        <f>(((VLOOKUP($A5,'TL0-5 Elements'!$A$2:$I$53,8,FALSE))*L5)*(1+Q5+U5+Y5+AC5+AG5+AK5))*M5</f>
        <v>0</v>
      </c>
      <c r="J5" s="43">
        <f>VLOOKUP(A5,'TL0-5 Elements'!$A$2:$I$53,9,FALSE)</f>
        <v>0</v>
      </c>
      <c r="K5" s="2">
        <f>IF(VLOOKUP($A5,'TL0-5 Elements'!$A$2:$I$53,9,FALSE)-$J5=0,1,IF(VLOOKUP($A5,'TL0-5 Elements'!$A$2:$I$53,9,FALSE)-$J5=-1,2,IF(VLOOKUP($A5,'TL0-5 Elements'!$A$2:$I$53,9,FALSE)-$J5=-2,4,IF(VLOOKUP($A5,'TL0-5 Elements'!$A$2:$I$53,9,FALSE)-$J5=-3,8,IF(VLOOKUP($A5,'TL0-5 Elements'!$A$2:$I$53,9,FALSE)-$J5=-4,16,"Invalid")))))</f>
        <v>1</v>
      </c>
      <c r="L5" s="10">
        <v>1</v>
      </c>
      <c r="M5" s="44">
        <v>1</v>
      </c>
      <c r="N5" s="2" t="s">
        <v>138</v>
      </c>
      <c r="O5" s="2">
        <f>VLOOKUP(N5,'Equipment &amp; Troop Q'!$A$3:$D$7,2,FALSE)</f>
        <v>0</v>
      </c>
      <c r="P5" s="2">
        <f>VLOOKUP($N5,'Equipment &amp; Troop Q'!$A$3:$D$7,3,FALSE)</f>
        <v>0</v>
      </c>
      <c r="Q5" s="2">
        <f>VLOOKUP($N5,'Equipment &amp; Troop Q'!$A$3:$D$7,4,FALSE)</f>
        <v>0</v>
      </c>
      <c r="R5" s="2" t="s">
        <v>141</v>
      </c>
      <c r="S5" s="2">
        <f>VLOOKUP($R5,'Equipment &amp; Troop Q'!$A$13:$D$16,2,FALSE)</f>
        <v>0</v>
      </c>
      <c r="T5" s="2">
        <f>IF(OR(V5="Fanatic",Z5="Fanatic",AD5="Fanatic",AH5="Fanatic"),VLOOKUP($R5,'Equipment &amp; Troop Q'!$A$18:$D$19,3,FALSE),VLOOKUP($R5,'Equipment &amp; Troop Q'!$A$13:$D$16,3,FALSE))</f>
        <v>0</v>
      </c>
      <c r="U5" s="2">
        <f>VLOOKUP($R5,'Equipment &amp; Troop Q'!$A$13:$D$16,4,FALSE)</f>
        <v>0</v>
      </c>
      <c r="V5" s="2" t="s">
        <v>101</v>
      </c>
      <c r="W5" s="2">
        <f>VLOOKUP($V5,'Equipment &amp; Troop Q'!$F$3:$I$30,2,FALSE)</f>
        <v>0</v>
      </c>
      <c r="X5" s="2">
        <f>VLOOKUP($V5,'Equipment &amp; Troop Q'!$F$3:$I$30,3,FALSE)</f>
        <v>0</v>
      </c>
      <c r="Y5" s="2">
        <f>VLOOKUP($V5,'Equipment &amp; Troop Q'!$F$3:$I$30,4,FALSE)</f>
        <v>0</v>
      </c>
      <c r="Z5" s="2" t="s">
        <v>101</v>
      </c>
      <c r="AA5" s="2">
        <f>VLOOKUP($Z5,'Equipment &amp; Troop Q'!$F$3:$I$30,2,FALSE)</f>
        <v>0</v>
      </c>
      <c r="AB5" s="2">
        <f>VLOOKUP($Z5,'Equipment &amp; Troop Q'!$F$3:$I$30,3,FALSE)</f>
        <v>0</v>
      </c>
      <c r="AC5" s="2">
        <f>VLOOKUP($Z5,'Equipment &amp; Troop Q'!$F$3:$I$30,4,FALSE)</f>
        <v>0</v>
      </c>
      <c r="AD5" s="2" t="s">
        <v>101</v>
      </c>
      <c r="AE5" s="2">
        <f>VLOOKUP($AD5,'Equipment &amp; Troop Q'!$F$3:$I$30,2,FALSE)</f>
        <v>0</v>
      </c>
      <c r="AF5" s="2">
        <f>VLOOKUP($AD5,'Equipment &amp; Troop Q'!$F$3:$I$30,3,FALSE)</f>
        <v>0</v>
      </c>
      <c r="AG5" s="2">
        <f>VLOOKUP($AD5,'Equipment &amp; Troop Q'!$F$3:$I$30,4,FALSE)</f>
        <v>0</v>
      </c>
      <c r="AH5" s="2" t="s">
        <v>101</v>
      </c>
      <c r="AI5" s="2">
        <f>VLOOKUP($AH5,'Equipment &amp; Troop Q'!$F$3:$I$30,2,FALSE)</f>
        <v>0</v>
      </c>
      <c r="AJ5" s="2">
        <f>VLOOKUP($AH5,'Equipment &amp; Troop Q'!$F$3:$I$30,3,FALSE)</f>
        <v>0</v>
      </c>
      <c r="AK5" s="2">
        <f>VLOOKUP($AH5,'Equipment &amp; Troop Q'!$F$3:$I$30,4,FALSE)</f>
        <v>0</v>
      </c>
    </row>
    <row r="6" spans="1:37" x14ac:dyDescent="0.2">
      <c r="A6" s="5" t="s">
        <v>101</v>
      </c>
      <c r="B6" s="43">
        <f>((((VLOOKUP($A6,'TL0-5 Elements'!$A$2:$I$53,2,FALSE))*K6)*L6)*(1+O6+S6+W6+AA6+AE6+AI6))*M6</f>
        <v>0</v>
      </c>
      <c r="C6" s="43" t="str">
        <f>VLOOKUP($A6,'TL0-5 Elements'!$A$2:$I$53,3,FALSE)</f>
        <v>-</v>
      </c>
      <c r="D6" s="43">
        <f>IF(AND(COUNTIF(E6:E6,"*C3I*"),C6=1),B6*-0.1,0)</f>
        <v>0</v>
      </c>
      <c r="E6" s="43" t="str">
        <f>VLOOKUP($A6,'TL0-5 Elements'!$A$2:$I$53,4,FALSE)</f>
        <v>-</v>
      </c>
      <c r="F6" s="43" t="str">
        <f>VLOOKUP($A6,'TL0-5 Elements'!$A$2:$I$53,5,FALSE)</f>
        <v>-</v>
      </c>
      <c r="G6" s="43" t="str">
        <f>VLOOKUP($A6,'TL0-5 Elements'!$A$2:$I$53,6,FALSE)</f>
        <v>-</v>
      </c>
      <c r="H6" s="45">
        <f>(((VLOOKUP($A6,'TL0-5 Elements'!$A$2:$I$53,7,FALSE))*L6)*(1+P6+T6+X6+AB6+AF6+AJ6))*M6</f>
        <v>0</v>
      </c>
      <c r="I6" s="45">
        <f>(((VLOOKUP($A6,'TL0-5 Elements'!$A$2:$I$53,8,FALSE))*L6)*(1+Q6+U6+Y6+AC6+AG6+AK6))*M6</f>
        <v>0</v>
      </c>
      <c r="J6" s="43">
        <f>VLOOKUP(A6,'TL0-5 Elements'!$A$2:$I$53,9,FALSE)</f>
        <v>0</v>
      </c>
      <c r="K6" s="2">
        <f>IF(VLOOKUP($A6,'TL0-5 Elements'!$A$2:$I$53,9,FALSE)-$J6=0,1,IF(VLOOKUP($A6,'TL0-5 Elements'!$A$2:$I$53,9,FALSE)-$J6=-1,2,IF(VLOOKUP($A6,'TL0-5 Elements'!$A$2:$I$53,9,FALSE)-$J6=-2,4,IF(VLOOKUP($A6,'TL0-5 Elements'!$A$2:$I$53,9,FALSE)-$J6=-3,8,IF(VLOOKUP($A6,'TL0-5 Elements'!$A$2:$I$53,9,FALSE)-$J6=-4,16,"Invalid")))))</f>
        <v>1</v>
      </c>
      <c r="L6" s="10">
        <v>1</v>
      </c>
      <c r="M6" s="44">
        <v>1</v>
      </c>
      <c r="N6" s="2" t="s">
        <v>138</v>
      </c>
      <c r="O6" s="2">
        <f>VLOOKUP(N6,'Equipment &amp; Troop Q'!$A$3:$D$7,2,FALSE)</f>
        <v>0</v>
      </c>
      <c r="P6" s="2">
        <f>VLOOKUP($N6,'Equipment &amp; Troop Q'!$A$3:$D$7,3,FALSE)</f>
        <v>0</v>
      </c>
      <c r="Q6" s="2">
        <f>VLOOKUP($N6,'Equipment &amp; Troop Q'!$A$3:$D$7,4,FALSE)</f>
        <v>0</v>
      </c>
      <c r="R6" s="2" t="s">
        <v>141</v>
      </c>
      <c r="S6" s="2">
        <f>VLOOKUP($R6,'Equipment &amp; Troop Q'!$A$13:$D$16,2,FALSE)</f>
        <v>0</v>
      </c>
      <c r="T6" s="2">
        <f>IF(OR(V6="Fanatic",Z6="Fanatic",AD6="Fanatic",AH6="Fanatic"),VLOOKUP($R6,'Equipment &amp; Troop Q'!$A$18:$D$19,3,FALSE),VLOOKUP($R6,'Equipment &amp; Troop Q'!$A$13:$D$16,3,FALSE))</f>
        <v>0</v>
      </c>
      <c r="U6" s="2">
        <f>VLOOKUP($R6,'Equipment &amp; Troop Q'!$A$13:$D$16,4,FALSE)</f>
        <v>0</v>
      </c>
      <c r="V6" s="2" t="s">
        <v>101</v>
      </c>
      <c r="W6" s="2">
        <f>VLOOKUP($V6,'Equipment &amp; Troop Q'!$F$3:$I$30,2,FALSE)</f>
        <v>0</v>
      </c>
      <c r="X6" s="2">
        <f>VLOOKUP($V6,'Equipment &amp; Troop Q'!$F$3:$I$30,3,FALSE)</f>
        <v>0</v>
      </c>
      <c r="Y6" s="2">
        <f>VLOOKUP($V6,'Equipment &amp; Troop Q'!$F$3:$I$30,4,FALSE)</f>
        <v>0</v>
      </c>
      <c r="Z6" s="2" t="s">
        <v>101</v>
      </c>
      <c r="AA6" s="2">
        <f>VLOOKUP($Z6,'Equipment &amp; Troop Q'!$F$3:$I$30,2,FALSE)</f>
        <v>0</v>
      </c>
      <c r="AB6" s="2">
        <f>VLOOKUP($Z6,'Equipment &amp; Troop Q'!$F$3:$I$30,3,FALSE)</f>
        <v>0</v>
      </c>
      <c r="AC6" s="2">
        <f>VLOOKUP($Z6,'Equipment &amp; Troop Q'!$F$3:$I$30,4,FALSE)</f>
        <v>0</v>
      </c>
      <c r="AD6" s="2" t="s">
        <v>101</v>
      </c>
      <c r="AE6" s="2">
        <f>VLOOKUP($AD6,'Equipment &amp; Troop Q'!$F$3:$I$30,2,FALSE)</f>
        <v>0</v>
      </c>
      <c r="AF6" s="2">
        <f>VLOOKUP($AD6,'Equipment &amp; Troop Q'!$F$3:$I$30,3,FALSE)</f>
        <v>0</v>
      </c>
      <c r="AG6" s="2">
        <f>VLOOKUP($AD6,'Equipment &amp; Troop Q'!$F$3:$I$30,4,FALSE)</f>
        <v>0</v>
      </c>
      <c r="AH6" s="2" t="s">
        <v>101</v>
      </c>
      <c r="AI6" s="2">
        <f>VLOOKUP($AH6,'Equipment &amp; Troop Q'!$F$3:$I$30,2,FALSE)</f>
        <v>0</v>
      </c>
      <c r="AJ6" s="2">
        <f>VLOOKUP($AH6,'Equipment &amp; Troop Q'!$F$3:$I$30,3,FALSE)</f>
        <v>0</v>
      </c>
      <c r="AK6" s="2">
        <f>VLOOKUP($AH6,'Equipment &amp; Troop Q'!$F$3:$I$30,4,FALSE)</f>
        <v>0</v>
      </c>
    </row>
    <row r="7" spans="1:37" x14ac:dyDescent="0.2">
      <c r="A7" s="5" t="s">
        <v>101</v>
      </c>
      <c r="B7" s="43">
        <f>((((VLOOKUP($A7,'TL0-5 Elements'!$A$2:$I$53,2,FALSE))*K7)*L7)*(1+O7+S7+W7+AA7+AE7+AI7))*M7</f>
        <v>0</v>
      </c>
      <c r="C7" s="43" t="str">
        <f>VLOOKUP($A7,'TL0-5 Elements'!$A$2:$I$53,3,FALSE)</f>
        <v>-</v>
      </c>
      <c r="D7" s="43">
        <f t="shared" ref="D7:D31" si="0">IF(AND(COUNTIF(E7:E7,"*C3I*"),C7=1),B7*-0.1,0)</f>
        <v>0</v>
      </c>
      <c r="E7" s="43" t="str">
        <f>VLOOKUP($A7,'TL0-5 Elements'!$A$2:$I$53,4,FALSE)</f>
        <v>-</v>
      </c>
      <c r="F7" s="43" t="str">
        <f>VLOOKUP($A7,'TL0-5 Elements'!$A$2:$I$53,5,FALSE)</f>
        <v>-</v>
      </c>
      <c r="G7" s="43" t="str">
        <f>VLOOKUP($A7,'TL0-5 Elements'!$A$2:$I$53,6,FALSE)</f>
        <v>-</v>
      </c>
      <c r="H7" s="45">
        <f>(((VLOOKUP($A7,'TL0-5 Elements'!$A$2:$I$53,7,FALSE))*L7)*(1+P7+T7+X7+AB7+AF7+AJ7))*M7</f>
        <v>0</v>
      </c>
      <c r="I7" s="45">
        <f>(((VLOOKUP($A7,'TL0-5 Elements'!$A$2:$I$53,8,FALSE))*L7)*(1+Q7+U7+Y7+AC7+AG7+AK7))*M7</f>
        <v>0</v>
      </c>
      <c r="J7" s="43">
        <f>VLOOKUP(A7,'TL0-5 Elements'!$A$2:$I$53,9,FALSE)</f>
        <v>0</v>
      </c>
      <c r="K7" s="2">
        <f>IF(VLOOKUP($A7,'TL0-5 Elements'!$A$2:$I$53,9,FALSE)-$J7=0,1,IF(VLOOKUP($A7,'TL0-5 Elements'!$A$2:$I$53,9,FALSE)-$J7=-1,2,IF(VLOOKUP($A7,'TL0-5 Elements'!$A$2:$I$53,9,FALSE)-$J7=-2,4,IF(VLOOKUP($A7,'TL0-5 Elements'!$A$2:$I$53,9,FALSE)-$J7=-3,8,IF(VLOOKUP($A7,'TL0-5 Elements'!$A$2:$I$53,9,FALSE)-$J7=-4,16,"Invalid")))))</f>
        <v>1</v>
      </c>
      <c r="L7" s="10">
        <v>1</v>
      </c>
      <c r="M7" s="44">
        <v>1</v>
      </c>
      <c r="N7" s="2" t="s">
        <v>138</v>
      </c>
      <c r="O7" s="2">
        <f>VLOOKUP(N7,'Equipment &amp; Troop Q'!$A$3:$D$7,2,FALSE)</f>
        <v>0</v>
      </c>
      <c r="P7" s="2">
        <f>VLOOKUP($N7,'Equipment &amp; Troop Q'!$A$3:$D$7,3,FALSE)</f>
        <v>0</v>
      </c>
      <c r="Q7" s="2">
        <f>VLOOKUP($N7,'Equipment &amp; Troop Q'!$A$3:$D$7,4,FALSE)</f>
        <v>0</v>
      </c>
      <c r="R7" s="2" t="s">
        <v>141</v>
      </c>
      <c r="S7" s="2">
        <f>VLOOKUP($R7,'Equipment &amp; Troop Q'!$A$13:$D$16,2,FALSE)</f>
        <v>0</v>
      </c>
      <c r="T7" s="2">
        <f>IF(OR(V7="Fanatic",Z7="Fanatic",AD7="Fanatic",AH7="Fanatic"),VLOOKUP($R7,'Equipment &amp; Troop Q'!$A$18:$D$19,3,FALSE),VLOOKUP($R7,'Equipment &amp; Troop Q'!$A$13:$D$16,3,FALSE))</f>
        <v>0</v>
      </c>
      <c r="U7" s="2">
        <f>VLOOKUP($R7,'Equipment &amp; Troop Q'!$A$13:$D$16,4,FALSE)</f>
        <v>0</v>
      </c>
      <c r="V7" s="2" t="s">
        <v>101</v>
      </c>
      <c r="W7" s="2">
        <f>VLOOKUP($V7,'Equipment &amp; Troop Q'!$F$3:$I$30,2,FALSE)</f>
        <v>0</v>
      </c>
      <c r="X7" s="2">
        <f>VLOOKUP($V7,'Equipment &amp; Troop Q'!$F$3:$I$30,3,FALSE)</f>
        <v>0</v>
      </c>
      <c r="Y7" s="2">
        <f>VLOOKUP($V7,'Equipment &amp; Troop Q'!$F$3:$I$30,4,FALSE)</f>
        <v>0</v>
      </c>
      <c r="Z7" s="2" t="s">
        <v>101</v>
      </c>
      <c r="AA7" s="2">
        <f>VLOOKUP($Z7,'Equipment &amp; Troop Q'!$F$3:$I$30,2,FALSE)</f>
        <v>0</v>
      </c>
      <c r="AB7" s="2">
        <f>VLOOKUP($Z7,'Equipment &amp; Troop Q'!$F$3:$I$30,3,FALSE)</f>
        <v>0</v>
      </c>
      <c r="AC7" s="2">
        <f>VLOOKUP($Z7,'Equipment &amp; Troop Q'!$F$3:$I$30,4,FALSE)</f>
        <v>0</v>
      </c>
      <c r="AD7" s="2" t="s">
        <v>101</v>
      </c>
      <c r="AE7" s="2">
        <f>VLOOKUP($AD7,'Equipment &amp; Troop Q'!$F$3:$I$30,2,FALSE)</f>
        <v>0</v>
      </c>
      <c r="AF7" s="2">
        <f>VLOOKUP($AD7,'Equipment &amp; Troop Q'!$F$3:$I$30,3,FALSE)</f>
        <v>0</v>
      </c>
      <c r="AG7" s="2">
        <f>VLOOKUP($AD7,'Equipment &amp; Troop Q'!$F$3:$I$30,4,FALSE)</f>
        <v>0</v>
      </c>
      <c r="AH7" s="2" t="s">
        <v>101</v>
      </c>
      <c r="AI7" s="2">
        <f>VLOOKUP($AH7,'Equipment &amp; Troop Q'!$F$3:$I$30,2,FALSE)</f>
        <v>0</v>
      </c>
      <c r="AJ7" s="2">
        <f>VLOOKUP($AH7,'Equipment &amp; Troop Q'!$F$3:$I$30,3,FALSE)</f>
        <v>0</v>
      </c>
      <c r="AK7" s="2">
        <f>VLOOKUP($AH7,'Equipment &amp; Troop Q'!$F$3:$I$30,4,FALSE)</f>
        <v>0</v>
      </c>
    </row>
    <row r="8" spans="1:37" x14ac:dyDescent="0.2">
      <c r="A8" s="5" t="s">
        <v>101</v>
      </c>
      <c r="B8" s="43">
        <f>((((VLOOKUP($A8,'TL0-5 Elements'!$A$2:$I$53,2,FALSE))*K8)*L8)*(1+O8+S8+W8+AA8+AE8+AI8))*M8</f>
        <v>0</v>
      </c>
      <c r="C8" s="43" t="str">
        <f>VLOOKUP($A8,'TL0-5 Elements'!$A$2:$I$53,3,FALSE)</f>
        <v>-</v>
      </c>
      <c r="D8" s="43">
        <f t="shared" si="0"/>
        <v>0</v>
      </c>
      <c r="E8" s="43" t="str">
        <f>VLOOKUP($A8,'TL0-5 Elements'!$A$2:$I$53,4,FALSE)</f>
        <v>-</v>
      </c>
      <c r="F8" s="43" t="str">
        <f>VLOOKUP($A8,'TL0-5 Elements'!$A$2:$I$53,5,FALSE)</f>
        <v>-</v>
      </c>
      <c r="G8" s="43" t="str">
        <f>VLOOKUP($A8,'TL0-5 Elements'!$A$2:$I$53,6,FALSE)</f>
        <v>-</v>
      </c>
      <c r="H8" s="45">
        <f>(((VLOOKUP($A8,'TL0-5 Elements'!$A$2:$I$53,7,FALSE))*L8)*(1+P8+T8+X8+AB8+AF8+AJ8))*M8</f>
        <v>0</v>
      </c>
      <c r="I8" s="45">
        <f>(((VLOOKUP($A8,'TL0-5 Elements'!$A$2:$I$53,8,FALSE))*L8)*(1+Q8+U8+Y8+AC8+AG8+AK8))*M8</f>
        <v>0</v>
      </c>
      <c r="J8" s="43">
        <f>VLOOKUP(A8,'TL0-5 Elements'!$A$2:$I$53,9,FALSE)</f>
        <v>0</v>
      </c>
      <c r="K8" s="2">
        <f>IF(VLOOKUP($A8,'TL0-5 Elements'!$A$2:$I$53,9,FALSE)-$J8=0,1,IF(VLOOKUP($A8,'TL0-5 Elements'!$A$2:$I$53,9,FALSE)-$J8=-1,2,IF(VLOOKUP($A8,'TL0-5 Elements'!$A$2:$I$53,9,FALSE)-$J8=-2,4,IF(VLOOKUP($A8,'TL0-5 Elements'!$A$2:$I$53,9,FALSE)-$J8=-3,8,IF(VLOOKUP($A8,'TL0-5 Elements'!$A$2:$I$53,9,FALSE)-$J8=-4,16,"Invalid")))))</f>
        <v>1</v>
      </c>
      <c r="L8" s="10">
        <v>1</v>
      </c>
      <c r="M8" s="44">
        <v>1</v>
      </c>
      <c r="N8" s="2" t="s">
        <v>138</v>
      </c>
      <c r="O8" s="2">
        <f>VLOOKUP(N8,'Equipment &amp; Troop Q'!$A$3:$D$7,2,FALSE)</f>
        <v>0</v>
      </c>
      <c r="P8" s="2">
        <f>VLOOKUP($N8,'Equipment &amp; Troop Q'!$A$3:$D$7,3,FALSE)</f>
        <v>0</v>
      </c>
      <c r="Q8" s="2">
        <f>VLOOKUP($N8,'Equipment &amp; Troop Q'!$A$3:$D$7,4,FALSE)</f>
        <v>0</v>
      </c>
      <c r="R8" s="2" t="s">
        <v>141</v>
      </c>
      <c r="S8" s="2">
        <f>VLOOKUP($R8,'Equipment &amp; Troop Q'!$A$13:$D$16,2,FALSE)</f>
        <v>0</v>
      </c>
      <c r="T8" s="2">
        <f>IF(OR(V8="Fanatic",Z8="Fanatic",AD8="Fanatic",AH8="Fanatic"),VLOOKUP($R8,'Equipment &amp; Troop Q'!$A$18:$D$19,3,FALSE),VLOOKUP($R8,'Equipment &amp; Troop Q'!$A$13:$D$16,3,FALSE))</f>
        <v>0</v>
      </c>
      <c r="U8" s="2">
        <f>VLOOKUP($R8,'Equipment &amp; Troop Q'!$A$13:$D$16,4,FALSE)</f>
        <v>0</v>
      </c>
      <c r="V8" s="2" t="s">
        <v>101</v>
      </c>
      <c r="W8" s="2">
        <f>VLOOKUP($V8,'Equipment &amp; Troop Q'!$F$3:$I$30,2,FALSE)</f>
        <v>0</v>
      </c>
      <c r="X8" s="2">
        <f>VLOOKUP($V8,'Equipment &amp; Troop Q'!$F$3:$I$30,3,FALSE)</f>
        <v>0</v>
      </c>
      <c r="Y8" s="2">
        <f>VLOOKUP($V8,'Equipment &amp; Troop Q'!$F$3:$I$30,4,FALSE)</f>
        <v>0</v>
      </c>
      <c r="Z8" s="2" t="s">
        <v>101</v>
      </c>
      <c r="AA8" s="2">
        <f>VLOOKUP($Z8,'Equipment &amp; Troop Q'!$F$3:$I$30,2,FALSE)</f>
        <v>0</v>
      </c>
      <c r="AB8" s="2">
        <f>VLOOKUP($Z8,'Equipment &amp; Troop Q'!$F$3:$I$30,3,FALSE)</f>
        <v>0</v>
      </c>
      <c r="AC8" s="2">
        <f>VLOOKUP($Z8,'Equipment &amp; Troop Q'!$F$3:$I$30,4,FALSE)</f>
        <v>0</v>
      </c>
      <c r="AD8" s="2" t="s">
        <v>101</v>
      </c>
      <c r="AE8" s="2">
        <f>VLOOKUP($AD8,'Equipment &amp; Troop Q'!$F$3:$I$30,2,FALSE)</f>
        <v>0</v>
      </c>
      <c r="AF8" s="2">
        <f>VLOOKUP($AD8,'Equipment &amp; Troop Q'!$F$3:$I$30,3,FALSE)</f>
        <v>0</v>
      </c>
      <c r="AG8" s="2">
        <f>VLOOKUP($AD8,'Equipment &amp; Troop Q'!$F$3:$I$30,4,FALSE)</f>
        <v>0</v>
      </c>
      <c r="AH8" s="2" t="s">
        <v>101</v>
      </c>
      <c r="AI8" s="2">
        <f>VLOOKUP($AH8,'Equipment &amp; Troop Q'!$F$3:$I$30,2,FALSE)</f>
        <v>0</v>
      </c>
      <c r="AJ8" s="2">
        <f>VLOOKUP($AH8,'Equipment &amp; Troop Q'!$F$3:$I$30,3,FALSE)</f>
        <v>0</v>
      </c>
      <c r="AK8" s="2">
        <f>VLOOKUP($AH8,'Equipment &amp; Troop Q'!$F$3:$I$30,4,FALSE)</f>
        <v>0</v>
      </c>
    </row>
    <row r="9" spans="1:37" x14ac:dyDescent="0.2">
      <c r="A9" s="5" t="s">
        <v>101</v>
      </c>
      <c r="B9" s="43">
        <f>((((VLOOKUP($A9,'TL0-5 Elements'!$A$2:$I$53,2,FALSE))*K9)*L9)*(1+O9+S9+W9+AA9+AE9+AI9))*M9</f>
        <v>0</v>
      </c>
      <c r="C9" s="43" t="str">
        <f>VLOOKUP($A9,'TL0-5 Elements'!$A$2:$I$53,3,FALSE)</f>
        <v>-</v>
      </c>
      <c r="D9" s="43">
        <f t="shared" si="0"/>
        <v>0</v>
      </c>
      <c r="E9" s="43" t="str">
        <f>VLOOKUP($A9,'TL0-5 Elements'!$A$2:$I$53,4,FALSE)</f>
        <v>-</v>
      </c>
      <c r="F9" s="43" t="str">
        <f>VLOOKUP($A9,'TL0-5 Elements'!$A$2:$I$53,5,FALSE)</f>
        <v>-</v>
      </c>
      <c r="G9" s="43" t="str">
        <f>VLOOKUP($A9,'TL0-5 Elements'!$A$2:$I$53,6,FALSE)</f>
        <v>-</v>
      </c>
      <c r="H9" s="45">
        <f>(((VLOOKUP($A9,'TL0-5 Elements'!$A$2:$I$53,7,FALSE))*L9)*(1+P9+T9+X9+AB9+AF9+AJ9))*M9</f>
        <v>0</v>
      </c>
      <c r="I9" s="45">
        <f>(((VLOOKUP($A9,'TL0-5 Elements'!$A$2:$I$53,8,FALSE))*L9)*(1+Q9+U9+Y9+AC9+AG9+AK9))*M9</f>
        <v>0</v>
      </c>
      <c r="J9" s="43">
        <f>VLOOKUP(A9,'TL0-5 Elements'!$A$2:$I$53,9,FALSE)</f>
        <v>0</v>
      </c>
      <c r="K9" s="2">
        <f>IF(VLOOKUP($A9,'TL0-5 Elements'!$A$2:$I$53,9,FALSE)-$J9=0,1,IF(VLOOKUP($A9,'TL0-5 Elements'!$A$2:$I$53,9,FALSE)-$J9=-1,2,IF(VLOOKUP($A9,'TL0-5 Elements'!$A$2:$I$53,9,FALSE)-$J9=-2,4,IF(VLOOKUP($A9,'TL0-5 Elements'!$A$2:$I$53,9,FALSE)-$J9=-3,8,IF(VLOOKUP($A9,'TL0-5 Elements'!$A$2:$I$53,9,FALSE)-$J9=-4,16,"Invalid")))))</f>
        <v>1</v>
      </c>
      <c r="L9" s="10">
        <v>1</v>
      </c>
      <c r="M9" s="44">
        <v>1</v>
      </c>
      <c r="N9" s="2" t="s">
        <v>138</v>
      </c>
      <c r="O9" s="2">
        <f>VLOOKUP(N9,'Equipment &amp; Troop Q'!$A$3:$D$7,2,FALSE)</f>
        <v>0</v>
      </c>
      <c r="P9" s="2">
        <f>VLOOKUP($N9,'Equipment &amp; Troop Q'!$A$3:$D$7,3,FALSE)</f>
        <v>0</v>
      </c>
      <c r="Q9" s="2">
        <f>VLOOKUP($N9,'Equipment &amp; Troop Q'!$A$3:$D$7,4,FALSE)</f>
        <v>0</v>
      </c>
      <c r="R9" s="2" t="s">
        <v>141</v>
      </c>
      <c r="S9" s="2">
        <f>VLOOKUP($R9,'Equipment &amp; Troop Q'!$A$13:$D$16,2,FALSE)</f>
        <v>0</v>
      </c>
      <c r="T9" s="2">
        <f>IF(OR(V9="Fanatic",Z9="Fanatic",AD9="Fanatic",AH9="Fanatic"),VLOOKUP($R9,'Equipment &amp; Troop Q'!$A$18:$D$19,3,FALSE),VLOOKUP($R9,'Equipment &amp; Troop Q'!$A$13:$D$16,3,FALSE))</f>
        <v>0</v>
      </c>
      <c r="U9" s="2">
        <f>VLOOKUP($R9,'Equipment &amp; Troop Q'!$A$13:$D$16,4,FALSE)</f>
        <v>0</v>
      </c>
      <c r="V9" s="2" t="s">
        <v>101</v>
      </c>
      <c r="W9" s="2">
        <f>VLOOKUP($V9,'Equipment &amp; Troop Q'!$F$3:$I$30,2,FALSE)</f>
        <v>0</v>
      </c>
      <c r="X9" s="2">
        <f>VLOOKUP($V9,'Equipment &amp; Troop Q'!$F$3:$I$30,3,FALSE)</f>
        <v>0</v>
      </c>
      <c r="Y9" s="2">
        <f>VLOOKUP($V9,'Equipment &amp; Troop Q'!$F$3:$I$30,4,FALSE)</f>
        <v>0</v>
      </c>
      <c r="Z9" s="2" t="s">
        <v>101</v>
      </c>
      <c r="AA9" s="2">
        <f>VLOOKUP($Z9,'Equipment &amp; Troop Q'!$F$3:$I$30,2,FALSE)</f>
        <v>0</v>
      </c>
      <c r="AB9" s="2">
        <f>VLOOKUP($Z9,'Equipment &amp; Troop Q'!$F$3:$I$30,3,FALSE)</f>
        <v>0</v>
      </c>
      <c r="AC9" s="2">
        <f>VLOOKUP($Z9,'Equipment &amp; Troop Q'!$F$3:$I$30,4,FALSE)</f>
        <v>0</v>
      </c>
      <c r="AD9" s="2" t="s">
        <v>101</v>
      </c>
      <c r="AE9" s="2">
        <f>VLOOKUP($AD9,'Equipment &amp; Troop Q'!$F$3:$I$30,2,FALSE)</f>
        <v>0</v>
      </c>
      <c r="AF9" s="2">
        <f>VLOOKUP($AD9,'Equipment &amp; Troop Q'!$F$3:$I$30,3,FALSE)</f>
        <v>0</v>
      </c>
      <c r="AG9" s="2">
        <f>VLOOKUP($AD9,'Equipment &amp; Troop Q'!$F$3:$I$30,4,FALSE)</f>
        <v>0</v>
      </c>
      <c r="AH9" s="2" t="s">
        <v>101</v>
      </c>
      <c r="AI9" s="2">
        <f>VLOOKUP($AH9,'Equipment &amp; Troop Q'!$F$3:$I$30,2,FALSE)</f>
        <v>0</v>
      </c>
      <c r="AJ9" s="2">
        <f>VLOOKUP($AH9,'Equipment &amp; Troop Q'!$F$3:$I$30,3,FALSE)</f>
        <v>0</v>
      </c>
      <c r="AK9" s="2">
        <f>VLOOKUP($AH9,'Equipment &amp; Troop Q'!$F$3:$I$30,4,FALSE)</f>
        <v>0</v>
      </c>
    </row>
    <row r="10" spans="1:37" x14ac:dyDescent="0.2">
      <c r="A10" s="5" t="s">
        <v>101</v>
      </c>
      <c r="B10" s="43">
        <f>((((VLOOKUP($A10,'TL0-5 Elements'!$A$2:$I$53,2,FALSE))*K10)*L10)*(1+O10+S10+W10+AA10+AE10+AI10))*M10</f>
        <v>0</v>
      </c>
      <c r="C10" s="43" t="str">
        <f>VLOOKUP($A10,'TL0-5 Elements'!$A$2:$I$53,3,FALSE)</f>
        <v>-</v>
      </c>
      <c r="D10" s="43">
        <f t="shared" si="0"/>
        <v>0</v>
      </c>
      <c r="E10" s="43" t="str">
        <f>VLOOKUP($A10,'TL0-5 Elements'!$A$2:$I$53,4,FALSE)</f>
        <v>-</v>
      </c>
      <c r="F10" s="43" t="str">
        <f>VLOOKUP($A10,'TL0-5 Elements'!$A$2:$I$53,5,FALSE)</f>
        <v>-</v>
      </c>
      <c r="G10" s="43" t="str">
        <f>VLOOKUP($A10,'TL0-5 Elements'!$A$2:$I$53,6,FALSE)</f>
        <v>-</v>
      </c>
      <c r="H10" s="45">
        <f>(((VLOOKUP($A10,'TL0-5 Elements'!$A$2:$I$53,7,FALSE))*L10)*(1+P10+T10+X10+AB10+AF10+AJ10))*M10</f>
        <v>0</v>
      </c>
      <c r="I10" s="45">
        <f>(((VLOOKUP($A10,'TL0-5 Elements'!$A$2:$I$53,8,FALSE))*L10)*(1+Q10+U10+Y10+AC10+AG10+AK10))*M10</f>
        <v>0</v>
      </c>
      <c r="J10" s="43">
        <f>VLOOKUP(A10,'TL0-5 Elements'!$A$2:$I$53,9,FALSE)</f>
        <v>0</v>
      </c>
      <c r="K10" s="2">
        <f>IF(VLOOKUP($A10,'TL0-5 Elements'!$A$2:$I$53,9,FALSE)-$J10=0,1,IF(VLOOKUP($A10,'TL0-5 Elements'!$A$2:$I$53,9,FALSE)-$J10=-1,2,IF(VLOOKUP($A10,'TL0-5 Elements'!$A$2:$I$53,9,FALSE)-$J10=-2,4,IF(VLOOKUP($A10,'TL0-5 Elements'!$A$2:$I$53,9,FALSE)-$J10=-3,8,IF(VLOOKUP($A10,'TL0-5 Elements'!$A$2:$I$53,9,FALSE)-$J10=-4,16,"Invalid")))))</f>
        <v>1</v>
      </c>
      <c r="L10" s="10">
        <v>1</v>
      </c>
      <c r="M10" s="44">
        <v>1</v>
      </c>
      <c r="N10" s="2" t="s">
        <v>138</v>
      </c>
      <c r="O10" s="2">
        <f>VLOOKUP(N10,'Equipment &amp; Troop Q'!$A$3:$D$7,2,FALSE)</f>
        <v>0</v>
      </c>
      <c r="P10" s="2">
        <f>VLOOKUP($N10,'Equipment &amp; Troop Q'!$A$3:$D$7,3,FALSE)</f>
        <v>0</v>
      </c>
      <c r="Q10" s="2">
        <f>VLOOKUP($N10,'Equipment &amp; Troop Q'!$A$3:$D$7,4,FALSE)</f>
        <v>0</v>
      </c>
      <c r="R10" s="2" t="s">
        <v>141</v>
      </c>
      <c r="S10" s="2">
        <f>VLOOKUP($R10,'Equipment &amp; Troop Q'!$A$13:$D$16,2,FALSE)</f>
        <v>0</v>
      </c>
      <c r="T10" s="2">
        <f>IF(OR(V10="Fanatic",Z10="Fanatic",AD10="Fanatic",AH10="Fanatic"),VLOOKUP($R10,'Equipment &amp; Troop Q'!$A$18:$D$19,3,FALSE),VLOOKUP($R10,'Equipment &amp; Troop Q'!$A$13:$D$16,3,FALSE))</f>
        <v>0</v>
      </c>
      <c r="U10" s="2">
        <f>VLOOKUP($R10,'Equipment &amp; Troop Q'!$A$13:$D$16,4,FALSE)</f>
        <v>0</v>
      </c>
      <c r="V10" s="2" t="s">
        <v>101</v>
      </c>
      <c r="W10" s="2">
        <f>VLOOKUP($V10,'Equipment &amp; Troop Q'!$F$3:$I$30,2,FALSE)</f>
        <v>0</v>
      </c>
      <c r="X10" s="2">
        <f>VLOOKUP($V10,'Equipment &amp; Troop Q'!$F$3:$I$30,3,FALSE)</f>
        <v>0</v>
      </c>
      <c r="Y10" s="2">
        <f>VLOOKUP($V10,'Equipment &amp; Troop Q'!$F$3:$I$30,4,FALSE)</f>
        <v>0</v>
      </c>
      <c r="Z10" s="2" t="s">
        <v>101</v>
      </c>
      <c r="AA10" s="2">
        <f>VLOOKUP($Z10,'Equipment &amp; Troop Q'!$F$3:$I$30,2,FALSE)</f>
        <v>0</v>
      </c>
      <c r="AB10" s="2">
        <f>VLOOKUP($Z10,'Equipment &amp; Troop Q'!$F$3:$I$30,3,FALSE)</f>
        <v>0</v>
      </c>
      <c r="AC10" s="2">
        <f>VLOOKUP($Z10,'Equipment &amp; Troop Q'!$F$3:$I$30,4,FALSE)</f>
        <v>0</v>
      </c>
      <c r="AD10" s="2" t="s">
        <v>101</v>
      </c>
      <c r="AE10" s="2">
        <f>VLOOKUP($AD10,'Equipment &amp; Troop Q'!$F$3:$I$30,2,FALSE)</f>
        <v>0</v>
      </c>
      <c r="AF10" s="2">
        <f>VLOOKUP($AD10,'Equipment &amp; Troop Q'!$F$3:$I$30,3,FALSE)</f>
        <v>0</v>
      </c>
      <c r="AG10" s="2">
        <f>VLOOKUP($AD10,'Equipment &amp; Troop Q'!$F$3:$I$30,4,FALSE)</f>
        <v>0</v>
      </c>
      <c r="AH10" s="2" t="s">
        <v>101</v>
      </c>
      <c r="AI10" s="2">
        <f>VLOOKUP($AH10,'Equipment &amp; Troop Q'!$F$3:$I$30,2,FALSE)</f>
        <v>0</v>
      </c>
      <c r="AJ10" s="2">
        <f>VLOOKUP($AH10,'Equipment &amp; Troop Q'!$F$3:$I$30,3,FALSE)</f>
        <v>0</v>
      </c>
      <c r="AK10" s="2">
        <f>VLOOKUP($AH10,'Equipment &amp; Troop Q'!$F$3:$I$30,4,FALSE)</f>
        <v>0</v>
      </c>
    </row>
    <row r="11" spans="1:37" x14ac:dyDescent="0.2">
      <c r="A11" s="5" t="s">
        <v>101</v>
      </c>
      <c r="B11" s="43">
        <f>((((VLOOKUP($A11,'TL0-5 Elements'!$A$2:$I$53,2,FALSE))*K11)*L11)*(1+O11+S11+W11+AA11+AE11+AI11))*M11</f>
        <v>0</v>
      </c>
      <c r="C11" s="43" t="str">
        <f>VLOOKUP($A11,'TL0-5 Elements'!$A$2:$I$53,3,FALSE)</f>
        <v>-</v>
      </c>
      <c r="D11" s="43">
        <f t="shared" si="0"/>
        <v>0</v>
      </c>
      <c r="E11" s="43" t="str">
        <f>VLOOKUP($A11,'TL0-5 Elements'!$A$2:$I$53,4,FALSE)</f>
        <v>-</v>
      </c>
      <c r="F11" s="43" t="str">
        <f>VLOOKUP($A11,'TL0-5 Elements'!$A$2:$I$53,5,FALSE)</f>
        <v>-</v>
      </c>
      <c r="G11" s="43" t="str">
        <f>VLOOKUP($A11,'TL0-5 Elements'!$A$2:$I$53,6,FALSE)</f>
        <v>-</v>
      </c>
      <c r="H11" s="45">
        <f>(((VLOOKUP($A11,'TL0-5 Elements'!$A$2:$I$53,7,FALSE))*L11)*(1+P11+T11+X11+AB11+AF11+AJ11))*M11</f>
        <v>0</v>
      </c>
      <c r="I11" s="45">
        <f>(((VLOOKUP($A11,'TL0-5 Elements'!$A$2:$I$53,8,FALSE))*L11)*(1+Q11+U11+Y11+AC11+AG11+AK11))*M11</f>
        <v>0</v>
      </c>
      <c r="J11" s="43">
        <f>VLOOKUP(A11,'TL0-5 Elements'!$A$2:$I$53,9,FALSE)</f>
        <v>0</v>
      </c>
      <c r="K11" s="2">
        <f>IF(VLOOKUP($A11,'TL0-5 Elements'!$A$2:$I$53,9,FALSE)-$J11=0,1,IF(VLOOKUP($A11,'TL0-5 Elements'!$A$2:$I$53,9,FALSE)-$J11=-1,2,IF(VLOOKUP($A11,'TL0-5 Elements'!$A$2:$I$53,9,FALSE)-$J11=-2,4,IF(VLOOKUP($A11,'TL0-5 Elements'!$A$2:$I$53,9,FALSE)-$J11=-3,8,IF(VLOOKUP($A11,'TL0-5 Elements'!$A$2:$I$53,9,FALSE)-$J11=-4,16,"Invalid")))))</f>
        <v>1</v>
      </c>
      <c r="L11" s="10">
        <v>1</v>
      </c>
      <c r="M11" s="44">
        <v>1</v>
      </c>
      <c r="N11" s="2" t="s">
        <v>138</v>
      </c>
      <c r="O11" s="2">
        <f>VLOOKUP(N11,'Equipment &amp; Troop Q'!$A$3:$D$7,2,FALSE)</f>
        <v>0</v>
      </c>
      <c r="P11" s="2">
        <f>VLOOKUP($N11,'Equipment &amp; Troop Q'!$A$3:$D$7,3,FALSE)</f>
        <v>0</v>
      </c>
      <c r="Q11" s="2">
        <f>VLOOKUP($N11,'Equipment &amp; Troop Q'!$A$3:$D$7,4,FALSE)</f>
        <v>0</v>
      </c>
      <c r="R11" s="2" t="s">
        <v>141</v>
      </c>
      <c r="S11" s="2">
        <f>VLOOKUP($R11,'Equipment &amp; Troop Q'!$A$13:$D$16,2,FALSE)</f>
        <v>0</v>
      </c>
      <c r="T11" s="2">
        <f>IF(OR(V11="Fanatic",Z11="Fanatic",AD11="Fanatic",AH11="Fanatic"),VLOOKUP($R11,'Equipment &amp; Troop Q'!$A$18:$D$19,3,FALSE),VLOOKUP($R11,'Equipment &amp; Troop Q'!$A$13:$D$16,3,FALSE))</f>
        <v>0</v>
      </c>
      <c r="U11" s="2">
        <f>VLOOKUP($R11,'Equipment &amp; Troop Q'!$A$13:$D$16,4,FALSE)</f>
        <v>0</v>
      </c>
      <c r="V11" s="2" t="s">
        <v>101</v>
      </c>
      <c r="W11" s="2">
        <f>VLOOKUP($V11,'Equipment &amp; Troop Q'!$F$3:$I$30,2,FALSE)</f>
        <v>0</v>
      </c>
      <c r="X11" s="2">
        <f>VLOOKUP($V11,'Equipment &amp; Troop Q'!$F$3:$I$30,3,FALSE)</f>
        <v>0</v>
      </c>
      <c r="Y11" s="2">
        <f>VLOOKUP($V11,'Equipment &amp; Troop Q'!$F$3:$I$30,4,FALSE)</f>
        <v>0</v>
      </c>
      <c r="Z11" s="2" t="s">
        <v>101</v>
      </c>
      <c r="AA11" s="2">
        <f>VLOOKUP($Z11,'Equipment &amp; Troop Q'!$F$3:$I$30,2,FALSE)</f>
        <v>0</v>
      </c>
      <c r="AB11" s="2">
        <f>VLOOKUP($Z11,'Equipment &amp; Troop Q'!$F$3:$I$30,3,FALSE)</f>
        <v>0</v>
      </c>
      <c r="AC11" s="2">
        <f>VLOOKUP($Z11,'Equipment &amp; Troop Q'!$F$3:$I$30,4,FALSE)</f>
        <v>0</v>
      </c>
      <c r="AD11" s="2" t="s">
        <v>101</v>
      </c>
      <c r="AE11" s="2">
        <f>VLOOKUP($AD11,'Equipment &amp; Troop Q'!$F$3:$I$30,2,FALSE)</f>
        <v>0</v>
      </c>
      <c r="AF11" s="2">
        <f>VLOOKUP($AD11,'Equipment &amp; Troop Q'!$F$3:$I$30,3,FALSE)</f>
        <v>0</v>
      </c>
      <c r="AG11" s="2">
        <f>VLOOKUP($AD11,'Equipment &amp; Troop Q'!$F$3:$I$30,4,FALSE)</f>
        <v>0</v>
      </c>
      <c r="AH11" s="2" t="s">
        <v>101</v>
      </c>
      <c r="AI11" s="2">
        <f>VLOOKUP($AH11,'Equipment &amp; Troop Q'!$F$3:$I$30,2,FALSE)</f>
        <v>0</v>
      </c>
      <c r="AJ11" s="2">
        <f>VLOOKUP($AH11,'Equipment &amp; Troop Q'!$F$3:$I$30,3,FALSE)</f>
        <v>0</v>
      </c>
      <c r="AK11" s="2">
        <f>VLOOKUP($AH11,'Equipment &amp; Troop Q'!$F$3:$I$30,4,FALSE)</f>
        <v>0</v>
      </c>
    </row>
    <row r="12" spans="1:37" x14ac:dyDescent="0.2">
      <c r="A12" s="5" t="s">
        <v>101</v>
      </c>
      <c r="B12" s="43">
        <f>((((VLOOKUP($A12,'TL0-5 Elements'!$A$2:$I$53,2,FALSE))*K12)*L12)*(1+O12+S12+W12+AA12+AE12+AI12))*M12</f>
        <v>0</v>
      </c>
      <c r="C12" s="43" t="str">
        <f>VLOOKUP($A12,'TL0-5 Elements'!$A$2:$I$53,3,FALSE)</f>
        <v>-</v>
      </c>
      <c r="D12" s="43">
        <f t="shared" si="0"/>
        <v>0</v>
      </c>
      <c r="E12" s="43" t="str">
        <f>VLOOKUP($A12,'TL0-5 Elements'!$A$2:$I$53,4,FALSE)</f>
        <v>-</v>
      </c>
      <c r="F12" s="43" t="str">
        <f>VLOOKUP($A12,'TL0-5 Elements'!$A$2:$I$53,5,FALSE)</f>
        <v>-</v>
      </c>
      <c r="G12" s="43" t="str">
        <f>VLOOKUP($A12,'TL0-5 Elements'!$A$2:$I$53,6,FALSE)</f>
        <v>-</v>
      </c>
      <c r="H12" s="45">
        <f>(((VLOOKUP($A12,'TL0-5 Elements'!$A$2:$I$53,7,FALSE))*L12)*(1+P12+T12+X12+AB12+AF12+AJ12))*M12</f>
        <v>0</v>
      </c>
      <c r="I12" s="45">
        <f>(((VLOOKUP($A12,'TL0-5 Elements'!$A$2:$I$53,8,FALSE))*L12)*(1+Q12+U12+Y12+AC12+AG12+AK12))*M12</f>
        <v>0</v>
      </c>
      <c r="J12" s="43">
        <f>VLOOKUP(A12,'TL0-5 Elements'!$A$2:$I$53,9,FALSE)</f>
        <v>0</v>
      </c>
      <c r="K12" s="2">
        <f>IF(VLOOKUP($A12,'TL0-5 Elements'!$A$2:$I$53,9,FALSE)-$J12=0,1,IF(VLOOKUP($A12,'TL0-5 Elements'!$A$2:$I$53,9,FALSE)-$J12=-1,2,IF(VLOOKUP($A12,'TL0-5 Elements'!$A$2:$I$53,9,FALSE)-$J12=-2,4,IF(VLOOKUP($A12,'TL0-5 Elements'!$A$2:$I$53,9,FALSE)-$J12=-3,8,IF(VLOOKUP($A12,'TL0-5 Elements'!$A$2:$I$53,9,FALSE)-$J12=-4,16,"Invalid")))))</f>
        <v>1</v>
      </c>
      <c r="L12" s="10">
        <v>1</v>
      </c>
      <c r="M12" s="44">
        <v>1</v>
      </c>
      <c r="N12" s="2" t="s">
        <v>138</v>
      </c>
      <c r="O12" s="2">
        <f>VLOOKUP(N12,'Equipment &amp; Troop Q'!$A$3:$D$7,2,FALSE)</f>
        <v>0</v>
      </c>
      <c r="P12" s="2">
        <f>VLOOKUP($N12,'Equipment &amp; Troop Q'!$A$3:$D$7,3,FALSE)</f>
        <v>0</v>
      </c>
      <c r="Q12" s="2">
        <f>VLOOKUP($N12,'Equipment &amp; Troop Q'!$A$3:$D$7,4,FALSE)</f>
        <v>0</v>
      </c>
      <c r="R12" s="2" t="s">
        <v>141</v>
      </c>
      <c r="S12" s="2">
        <f>VLOOKUP($R12,'Equipment &amp; Troop Q'!$A$13:$D$16,2,FALSE)</f>
        <v>0</v>
      </c>
      <c r="T12" s="2">
        <f>IF(OR(V12="Fanatic",Z12="Fanatic",AD12="Fanatic",AH12="Fanatic"),VLOOKUP($R12,'Equipment &amp; Troop Q'!$A$18:$D$19,3,FALSE),VLOOKUP($R12,'Equipment &amp; Troop Q'!$A$13:$D$16,3,FALSE))</f>
        <v>0</v>
      </c>
      <c r="U12" s="2">
        <f>VLOOKUP($R12,'Equipment &amp; Troop Q'!$A$13:$D$16,4,FALSE)</f>
        <v>0</v>
      </c>
      <c r="V12" s="2" t="s">
        <v>101</v>
      </c>
      <c r="W12" s="2">
        <f>VLOOKUP($V12,'Equipment &amp; Troop Q'!$F$3:$I$30,2,FALSE)</f>
        <v>0</v>
      </c>
      <c r="X12" s="2">
        <f>VLOOKUP($V12,'Equipment &amp; Troop Q'!$F$3:$I$30,3,FALSE)</f>
        <v>0</v>
      </c>
      <c r="Y12" s="2">
        <f>VLOOKUP($V12,'Equipment &amp; Troop Q'!$F$3:$I$30,4,FALSE)</f>
        <v>0</v>
      </c>
      <c r="Z12" s="2" t="s">
        <v>101</v>
      </c>
      <c r="AA12" s="2">
        <f>VLOOKUP($Z12,'Equipment &amp; Troop Q'!$F$3:$I$30,2,FALSE)</f>
        <v>0</v>
      </c>
      <c r="AB12" s="2">
        <f>VLOOKUP($Z12,'Equipment &amp; Troop Q'!$F$3:$I$30,3,FALSE)</f>
        <v>0</v>
      </c>
      <c r="AC12" s="2">
        <f>VLOOKUP($Z12,'Equipment &amp; Troop Q'!$F$3:$I$30,4,FALSE)</f>
        <v>0</v>
      </c>
      <c r="AD12" s="2" t="s">
        <v>101</v>
      </c>
      <c r="AE12" s="2">
        <f>VLOOKUP($AD12,'Equipment &amp; Troop Q'!$F$3:$I$30,2,FALSE)</f>
        <v>0</v>
      </c>
      <c r="AF12" s="2">
        <f>VLOOKUP($AD12,'Equipment &amp; Troop Q'!$F$3:$I$30,3,FALSE)</f>
        <v>0</v>
      </c>
      <c r="AG12" s="2">
        <f>VLOOKUP($AD12,'Equipment &amp; Troop Q'!$F$3:$I$30,4,FALSE)</f>
        <v>0</v>
      </c>
      <c r="AH12" s="2" t="s">
        <v>101</v>
      </c>
      <c r="AI12" s="2">
        <f>VLOOKUP($AH12,'Equipment &amp; Troop Q'!$F$3:$I$30,2,FALSE)</f>
        <v>0</v>
      </c>
      <c r="AJ12" s="2">
        <f>VLOOKUP($AH12,'Equipment &amp; Troop Q'!$F$3:$I$30,3,FALSE)</f>
        <v>0</v>
      </c>
      <c r="AK12" s="2">
        <f>VLOOKUP($AH12,'Equipment &amp; Troop Q'!$F$3:$I$30,4,FALSE)</f>
        <v>0</v>
      </c>
    </row>
    <row r="13" spans="1:37" x14ac:dyDescent="0.2">
      <c r="A13" s="5" t="s">
        <v>101</v>
      </c>
      <c r="B13" s="43">
        <f>((((VLOOKUP($A13,'TL0-5 Elements'!$A$2:$I$53,2,FALSE))*K13)*L13)*(1+O13+S13+W13+AA13+AE13+AI13))*M13</f>
        <v>0</v>
      </c>
      <c r="C13" s="43" t="str">
        <f>VLOOKUP($A13,'TL0-5 Elements'!$A$2:$I$53,3,FALSE)</f>
        <v>-</v>
      </c>
      <c r="D13" s="43">
        <f t="shared" si="0"/>
        <v>0</v>
      </c>
      <c r="E13" s="43" t="str">
        <f>VLOOKUP($A13,'TL0-5 Elements'!$A$2:$I$53,4,FALSE)</f>
        <v>-</v>
      </c>
      <c r="F13" s="43" t="str">
        <f>VLOOKUP($A13,'TL0-5 Elements'!$A$2:$I$53,5,FALSE)</f>
        <v>-</v>
      </c>
      <c r="G13" s="43" t="str">
        <f>VLOOKUP($A13,'TL0-5 Elements'!$A$2:$I$53,6,FALSE)</f>
        <v>-</v>
      </c>
      <c r="H13" s="45">
        <f>(((VLOOKUP($A13,'TL0-5 Elements'!$A$2:$I$53,7,FALSE))*L13)*(1+P13+T13+X13+AB13+AF13+AJ13))*M13</f>
        <v>0</v>
      </c>
      <c r="I13" s="45">
        <f>(((VLOOKUP($A13,'TL0-5 Elements'!$A$2:$I$53,8,FALSE))*L13)*(1+Q13+U13+Y13+AC13+AG13+AK13))*M13</f>
        <v>0</v>
      </c>
      <c r="J13" s="43">
        <f>VLOOKUP(A13,'TL0-5 Elements'!$A$2:$I$53,9,FALSE)</f>
        <v>0</v>
      </c>
      <c r="K13" s="2">
        <f>IF(VLOOKUP($A13,'TL0-5 Elements'!$A$2:$I$53,9,FALSE)-$J13=0,1,IF(VLOOKUP($A13,'TL0-5 Elements'!$A$2:$I$53,9,FALSE)-$J13=-1,2,IF(VLOOKUP($A13,'TL0-5 Elements'!$A$2:$I$53,9,FALSE)-$J13=-2,4,IF(VLOOKUP($A13,'TL0-5 Elements'!$A$2:$I$53,9,FALSE)-$J13=-3,8,IF(VLOOKUP($A13,'TL0-5 Elements'!$A$2:$I$53,9,FALSE)-$J13=-4,16,"Invalid")))))</f>
        <v>1</v>
      </c>
      <c r="L13" s="10">
        <v>1</v>
      </c>
      <c r="M13" s="44">
        <v>1</v>
      </c>
      <c r="N13" s="2" t="s">
        <v>138</v>
      </c>
      <c r="O13" s="2">
        <f>VLOOKUP(N13,'Equipment &amp; Troop Q'!$A$3:$D$7,2,FALSE)</f>
        <v>0</v>
      </c>
      <c r="P13" s="2">
        <f>VLOOKUP($N13,'Equipment &amp; Troop Q'!$A$3:$D$7,3,FALSE)</f>
        <v>0</v>
      </c>
      <c r="Q13" s="2">
        <f>VLOOKUP($N13,'Equipment &amp; Troop Q'!$A$3:$D$7,4,FALSE)</f>
        <v>0</v>
      </c>
      <c r="R13" s="2" t="s">
        <v>141</v>
      </c>
      <c r="S13" s="2">
        <f>VLOOKUP($R13,'Equipment &amp; Troop Q'!$A$13:$D$16,2,FALSE)</f>
        <v>0</v>
      </c>
      <c r="T13" s="2">
        <f>IF(OR(V13="Fanatic",Z13="Fanatic",AD13="Fanatic",AH13="Fanatic"),VLOOKUP($R13,'Equipment &amp; Troop Q'!$A$18:$D$19,3,FALSE),VLOOKUP($R13,'Equipment &amp; Troop Q'!$A$13:$D$16,3,FALSE))</f>
        <v>0</v>
      </c>
      <c r="U13" s="2">
        <f>VLOOKUP($R13,'Equipment &amp; Troop Q'!$A$13:$D$16,4,FALSE)</f>
        <v>0</v>
      </c>
      <c r="V13" s="2" t="s">
        <v>101</v>
      </c>
      <c r="W13" s="2">
        <f>VLOOKUP($V13,'Equipment &amp; Troop Q'!$F$3:$I$30,2,FALSE)</f>
        <v>0</v>
      </c>
      <c r="X13" s="2">
        <f>VLOOKUP($V13,'Equipment &amp; Troop Q'!$F$3:$I$30,3,FALSE)</f>
        <v>0</v>
      </c>
      <c r="Y13" s="2">
        <f>VLOOKUP($V13,'Equipment &amp; Troop Q'!$F$3:$I$30,4,FALSE)</f>
        <v>0</v>
      </c>
      <c r="Z13" s="2" t="s">
        <v>101</v>
      </c>
      <c r="AA13" s="2">
        <f>VLOOKUP($Z13,'Equipment &amp; Troop Q'!$F$3:$I$30,2,FALSE)</f>
        <v>0</v>
      </c>
      <c r="AB13" s="2">
        <f>VLOOKUP($Z13,'Equipment &amp; Troop Q'!$F$3:$I$30,3,FALSE)</f>
        <v>0</v>
      </c>
      <c r="AC13" s="2">
        <f>VLOOKUP($Z13,'Equipment &amp; Troop Q'!$F$3:$I$30,4,FALSE)</f>
        <v>0</v>
      </c>
      <c r="AD13" s="2" t="s">
        <v>101</v>
      </c>
      <c r="AE13" s="2">
        <f>VLOOKUP($AD13,'Equipment &amp; Troop Q'!$F$3:$I$30,2,FALSE)</f>
        <v>0</v>
      </c>
      <c r="AF13" s="2">
        <f>VLOOKUP($AD13,'Equipment &amp; Troop Q'!$F$3:$I$30,3,FALSE)</f>
        <v>0</v>
      </c>
      <c r="AG13" s="2">
        <f>VLOOKUP($AD13,'Equipment &amp; Troop Q'!$F$3:$I$30,4,FALSE)</f>
        <v>0</v>
      </c>
      <c r="AH13" s="2" t="s">
        <v>101</v>
      </c>
      <c r="AI13" s="2">
        <f>VLOOKUP($AH13,'Equipment &amp; Troop Q'!$F$3:$I$30,2,FALSE)</f>
        <v>0</v>
      </c>
      <c r="AJ13" s="2">
        <f>VLOOKUP($AH13,'Equipment &amp; Troop Q'!$F$3:$I$30,3,FALSE)</f>
        <v>0</v>
      </c>
      <c r="AK13" s="2">
        <f>VLOOKUP($AH13,'Equipment &amp; Troop Q'!$F$3:$I$30,4,FALSE)</f>
        <v>0</v>
      </c>
    </row>
    <row r="14" spans="1:37" x14ac:dyDescent="0.2">
      <c r="A14" s="5" t="s">
        <v>101</v>
      </c>
      <c r="B14" s="43">
        <f>((((VLOOKUP($A14,'TL0-5 Elements'!$A$2:$I$53,2,FALSE))*K14)*L14)*(1+O14+S14+W14+AA14+AE14+AI14))*M14</f>
        <v>0</v>
      </c>
      <c r="C14" s="43" t="str">
        <f>VLOOKUP($A14,'TL0-5 Elements'!$A$2:$I$53,3,FALSE)</f>
        <v>-</v>
      </c>
      <c r="D14" s="43">
        <f t="shared" si="0"/>
        <v>0</v>
      </c>
      <c r="E14" s="43" t="str">
        <f>VLOOKUP($A14,'TL0-5 Elements'!$A$2:$I$53,4,FALSE)</f>
        <v>-</v>
      </c>
      <c r="F14" s="43" t="str">
        <f>VLOOKUP($A14,'TL0-5 Elements'!$A$2:$I$53,5,FALSE)</f>
        <v>-</v>
      </c>
      <c r="G14" s="43" t="str">
        <f>VLOOKUP($A14,'TL0-5 Elements'!$A$2:$I$53,6,FALSE)</f>
        <v>-</v>
      </c>
      <c r="H14" s="45">
        <f>(((VLOOKUP($A14,'TL0-5 Elements'!$A$2:$I$53,7,FALSE))*L14)*(1+P14+T14+X14+AB14+AF14+AJ14))*M14</f>
        <v>0</v>
      </c>
      <c r="I14" s="45">
        <f>(((VLOOKUP($A14,'TL0-5 Elements'!$A$2:$I$53,8,FALSE))*L14)*(1+Q14+U14+Y14+AC14+AG14+AK14))*M14</f>
        <v>0</v>
      </c>
      <c r="J14" s="43">
        <f>VLOOKUP(A14,'TL0-5 Elements'!$A$2:$I$53,9,FALSE)</f>
        <v>0</v>
      </c>
      <c r="K14" s="2">
        <f>IF(VLOOKUP($A14,'TL0-5 Elements'!$A$2:$I$53,9,FALSE)-$J14=0,1,IF(VLOOKUP($A14,'TL0-5 Elements'!$A$2:$I$53,9,FALSE)-$J14=-1,2,IF(VLOOKUP($A14,'TL0-5 Elements'!$A$2:$I$53,9,FALSE)-$J14=-2,4,IF(VLOOKUP($A14,'TL0-5 Elements'!$A$2:$I$53,9,FALSE)-$J14=-3,8,IF(VLOOKUP($A14,'TL0-5 Elements'!$A$2:$I$53,9,FALSE)-$J14=-4,16,"Invalid")))))</f>
        <v>1</v>
      </c>
      <c r="L14" s="10">
        <v>1</v>
      </c>
      <c r="M14" s="44">
        <v>1</v>
      </c>
      <c r="N14" s="2" t="s">
        <v>138</v>
      </c>
      <c r="O14" s="2">
        <f>VLOOKUP(N14,'Equipment &amp; Troop Q'!$A$3:$D$7,2,FALSE)</f>
        <v>0</v>
      </c>
      <c r="P14" s="2">
        <f>VLOOKUP($N14,'Equipment &amp; Troop Q'!$A$3:$D$7,3,FALSE)</f>
        <v>0</v>
      </c>
      <c r="Q14" s="2">
        <f>VLOOKUP($N14,'Equipment &amp; Troop Q'!$A$3:$D$7,4,FALSE)</f>
        <v>0</v>
      </c>
      <c r="R14" s="2" t="s">
        <v>141</v>
      </c>
      <c r="S14" s="2">
        <f>VLOOKUP($R14,'Equipment &amp; Troop Q'!$A$13:$D$16,2,FALSE)</f>
        <v>0</v>
      </c>
      <c r="T14" s="2">
        <f>IF(OR(V14="Fanatic",Z14="Fanatic",AD14="Fanatic",AH14="Fanatic"),VLOOKUP($R14,'Equipment &amp; Troop Q'!$A$18:$D$19,3,FALSE),VLOOKUP($R14,'Equipment &amp; Troop Q'!$A$13:$D$16,3,FALSE))</f>
        <v>0</v>
      </c>
      <c r="U14" s="2">
        <f>VLOOKUP($R14,'Equipment &amp; Troop Q'!$A$13:$D$16,4,FALSE)</f>
        <v>0</v>
      </c>
      <c r="V14" s="2" t="s">
        <v>101</v>
      </c>
      <c r="W14" s="2">
        <f>VLOOKUP($V14,'Equipment &amp; Troop Q'!$F$3:$I$30,2,FALSE)</f>
        <v>0</v>
      </c>
      <c r="X14" s="2">
        <f>VLOOKUP($V14,'Equipment &amp; Troop Q'!$F$3:$I$30,3,FALSE)</f>
        <v>0</v>
      </c>
      <c r="Y14" s="2">
        <f>VLOOKUP($V14,'Equipment &amp; Troop Q'!$F$3:$I$30,4,FALSE)</f>
        <v>0</v>
      </c>
      <c r="Z14" s="2" t="s">
        <v>101</v>
      </c>
      <c r="AA14" s="2">
        <f>VLOOKUP($Z14,'Equipment &amp; Troop Q'!$F$3:$I$30,2,FALSE)</f>
        <v>0</v>
      </c>
      <c r="AB14" s="2">
        <f>VLOOKUP($Z14,'Equipment &amp; Troop Q'!$F$3:$I$30,3,FALSE)</f>
        <v>0</v>
      </c>
      <c r="AC14" s="2">
        <f>VLOOKUP($Z14,'Equipment &amp; Troop Q'!$F$3:$I$30,4,FALSE)</f>
        <v>0</v>
      </c>
      <c r="AD14" s="2" t="s">
        <v>101</v>
      </c>
      <c r="AE14" s="2">
        <f>VLOOKUP($AD14,'Equipment &amp; Troop Q'!$F$3:$I$30,2,FALSE)</f>
        <v>0</v>
      </c>
      <c r="AF14" s="2">
        <f>VLOOKUP($AD14,'Equipment &amp; Troop Q'!$F$3:$I$30,3,FALSE)</f>
        <v>0</v>
      </c>
      <c r="AG14" s="2">
        <f>VLOOKUP($AD14,'Equipment &amp; Troop Q'!$F$3:$I$30,4,FALSE)</f>
        <v>0</v>
      </c>
      <c r="AH14" s="2" t="s">
        <v>101</v>
      </c>
      <c r="AI14" s="2">
        <f>VLOOKUP($AH14,'Equipment &amp; Troop Q'!$F$3:$I$30,2,FALSE)</f>
        <v>0</v>
      </c>
      <c r="AJ14" s="2">
        <f>VLOOKUP($AH14,'Equipment &amp; Troop Q'!$F$3:$I$30,3,FALSE)</f>
        <v>0</v>
      </c>
      <c r="AK14" s="2">
        <f>VLOOKUP($AH14,'Equipment &amp; Troop Q'!$F$3:$I$30,4,FALSE)</f>
        <v>0</v>
      </c>
    </row>
    <row r="15" spans="1:37" x14ac:dyDescent="0.2">
      <c r="A15" s="5" t="s">
        <v>101</v>
      </c>
      <c r="B15" s="43">
        <f>((((VLOOKUP($A15,'TL0-5 Elements'!$A$2:$I$53,2,FALSE))*K15)*L15)*(1+O15+S15+W15+AA15+AE15+AI15))*M15</f>
        <v>0</v>
      </c>
      <c r="C15" s="43" t="str">
        <f>VLOOKUP($A15,'TL0-5 Elements'!$A$2:$I$53,3,FALSE)</f>
        <v>-</v>
      </c>
      <c r="D15" s="43">
        <f t="shared" si="0"/>
        <v>0</v>
      </c>
      <c r="E15" s="43" t="str">
        <f>VLOOKUP($A15,'TL0-5 Elements'!$A$2:$I$53,4,FALSE)</f>
        <v>-</v>
      </c>
      <c r="F15" s="43" t="str">
        <f>VLOOKUP($A15,'TL0-5 Elements'!$A$2:$I$53,5,FALSE)</f>
        <v>-</v>
      </c>
      <c r="G15" s="43" t="str">
        <f>VLOOKUP($A15,'TL0-5 Elements'!$A$2:$I$53,6,FALSE)</f>
        <v>-</v>
      </c>
      <c r="H15" s="45">
        <f>(((VLOOKUP($A15,'TL0-5 Elements'!$A$2:$I$53,7,FALSE))*L15)*(1+P15+T15+X15+AB15+AF15+AJ15))*M15</f>
        <v>0</v>
      </c>
      <c r="I15" s="45">
        <f>(((VLOOKUP($A15,'TL0-5 Elements'!$A$2:$I$53,8,FALSE))*L15)*(1+Q15+U15+Y15+AC15+AG15+AK15))*M15</f>
        <v>0</v>
      </c>
      <c r="J15" s="43">
        <f>VLOOKUP(A15,'TL0-5 Elements'!$A$2:$I$53,9,FALSE)</f>
        <v>0</v>
      </c>
      <c r="K15" s="2">
        <f>IF(VLOOKUP($A15,'TL0-5 Elements'!$A$2:$I$53,9,FALSE)-$J15=0,1,IF(VLOOKUP($A15,'TL0-5 Elements'!$A$2:$I$53,9,FALSE)-$J15=-1,2,IF(VLOOKUP($A15,'TL0-5 Elements'!$A$2:$I$53,9,FALSE)-$J15=-2,4,IF(VLOOKUP($A15,'TL0-5 Elements'!$A$2:$I$53,9,FALSE)-$J15=-3,8,IF(VLOOKUP($A15,'TL0-5 Elements'!$A$2:$I$53,9,FALSE)-$J15=-4,16,"Invalid")))))</f>
        <v>1</v>
      </c>
      <c r="L15" s="10">
        <v>1</v>
      </c>
      <c r="M15" s="44">
        <v>1</v>
      </c>
      <c r="N15" s="2" t="s">
        <v>138</v>
      </c>
      <c r="O15" s="2">
        <f>VLOOKUP(N15,'Equipment &amp; Troop Q'!$A$3:$D$7,2,FALSE)</f>
        <v>0</v>
      </c>
      <c r="P15" s="2">
        <f>VLOOKUP($N15,'Equipment &amp; Troop Q'!$A$3:$D$7,3,FALSE)</f>
        <v>0</v>
      </c>
      <c r="Q15" s="2">
        <f>VLOOKUP($N15,'Equipment &amp; Troop Q'!$A$3:$D$7,4,FALSE)</f>
        <v>0</v>
      </c>
      <c r="R15" s="2" t="s">
        <v>141</v>
      </c>
      <c r="S15" s="2">
        <f>VLOOKUP($R15,'Equipment &amp; Troop Q'!$A$13:$D$16,2,FALSE)</f>
        <v>0</v>
      </c>
      <c r="T15" s="2">
        <f>IF(OR(V15="Fanatic",Z15="Fanatic",AD15="Fanatic",AH15="Fanatic"),VLOOKUP($R15,'Equipment &amp; Troop Q'!$A$18:$D$19,3,FALSE),VLOOKUP($R15,'Equipment &amp; Troop Q'!$A$13:$D$16,3,FALSE))</f>
        <v>0</v>
      </c>
      <c r="U15" s="2">
        <f>VLOOKUP($R15,'Equipment &amp; Troop Q'!$A$13:$D$16,4,FALSE)</f>
        <v>0</v>
      </c>
      <c r="V15" s="2" t="s">
        <v>101</v>
      </c>
      <c r="W15" s="2">
        <f>VLOOKUP($V15,'Equipment &amp; Troop Q'!$F$3:$I$30,2,FALSE)</f>
        <v>0</v>
      </c>
      <c r="X15" s="2">
        <f>VLOOKUP($V15,'Equipment &amp; Troop Q'!$F$3:$I$30,3,FALSE)</f>
        <v>0</v>
      </c>
      <c r="Y15" s="2">
        <f>VLOOKUP($V15,'Equipment &amp; Troop Q'!$F$3:$I$30,4,FALSE)</f>
        <v>0</v>
      </c>
      <c r="Z15" s="2" t="s">
        <v>101</v>
      </c>
      <c r="AA15" s="2">
        <f>VLOOKUP($Z15,'Equipment &amp; Troop Q'!$F$3:$I$30,2,FALSE)</f>
        <v>0</v>
      </c>
      <c r="AB15" s="2">
        <f>VLOOKUP($Z15,'Equipment &amp; Troop Q'!$F$3:$I$30,3,FALSE)</f>
        <v>0</v>
      </c>
      <c r="AC15" s="2">
        <f>VLOOKUP($Z15,'Equipment &amp; Troop Q'!$F$3:$I$30,4,FALSE)</f>
        <v>0</v>
      </c>
      <c r="AD15" s="2" t="s">
        <v>101</v>
      </c>
      <c r="AE15" s="2">
        <f>VLOOKUP($AD15,'Equipment &amp; Troop Q'!$F$3:$I$30,2,FALSE)</f>
        <v>0</v>
      </c>
      <c r="AF15" s="2">
        <f>VLOOKUP($AD15,'Equipment &amp; Troop Q'!$F$3:$I$30,3,FALSE)</f>
        <v>0</v>
      </c>
      <c r="AG15" s="2">
        <f>VLOOKUP($AD15,'Equipment &amp; Troop Q'!$F$3:$I$30,4,FALSE)</f>
        <v>0</v>
      </c>
      <c r="AH15" s="2" t="s">
        <v>101</v>
      </c>
      <c r="AI15" s="2">
        <f>VLOOKUP($AH15,'Equipment &amp; Troop Q'!$F$3:$I$30,2,FALSE)</f>
        <v>0</v>
      </c>
      <c r="AJ15" s="2">
        <f>VLOOKUP($AH15,'Equipment &amp; Troop Q'!$F$3:$I$30,3,FALSE)</f>
        <v>0</v>
      </c>
      <c r="AK15" s="2">
        <f>VLOOKUP($AH15,'Equipment &amp; Troop Q'!$F$3:$I$30,4,FALSE)</f>
        <v>0</v>
      </c>
    </row>
    <row r="16" spans="1:37" x14ac:dyDescent="0.2">
      <c r="A16" s="5" t="s">
        <v>101</v>
      </c>
      <c r="B16" s="43">
        <f>((((VLOOKUP($A16,'TL0-5 Elements'!$A$2:$I$53,2,FALSE))*K16)*L16)*(1+O16+S16+W16+AA16+AE16+AI16))*M16</f>
        <v>0</v>
      </c>
      <c r="C16" s="43" t="str">
        <f>VLOOKUP($A16,'TL0-5 Elements'!$A$2:$I$53,3,FALSE)</f>
        <v>-</v>
      </c>
      <c r="D16" s="43">
        <f t="shared" si="0"/>
        <v>0</v>
      </c>
      <c r="E16" s="43" t="str">
        <f>VLOOKUP($A16,'TL0-5 Elements'!$A$2:$I$53,4,FALSE)</f>
        <v>-</v>
      </c>
      <c r="F16" s="43" t="str">
        <f>VLOOKUP($A16,'TL0-5 Elements'!$A$2:$I$53,5,FALSE)</f>
        <v>-</v>
      </c>
      <c r="G16" s="43" t="str">
        <f>VLOOKUP($A16,'TL0-5 Elements'!$A$2:$I$53,6,FALSE)</f>
        <v>-</v>
      </c>
      <c r="H16" s="45">
        <f>(((VLOOKUP($A16,'TL0-5 Elements'!$A$2:$I$53,7,FALSE))*L16)*(1+P16+T16+X16+AB16+AF16+AJ16))*M16</f>
        <v>0</v>
      </c>
      <c r="I16" s="45">
        <f>(((VLOOKUP($A16,'TL0-5 Elements'!$A$2:$I$53,8,FALSE))*L16)*(1+Q16+U16+Y16+AC16+AG16+AK16))*M16</f>
        <v>0</v>
      </c>
      <c r="J16" s="43">
        <f>VLOOKUP(A16,'TL0-5 Elements'!$A$2:$I$53,9,FALSE)</f>
        <v>0</v>
      </c>
      <c r="K16" s="2">
        <f>IF(VLOOKUP($A16,'TL0-5 Elements'!$A$2:$I$53,9,FALSE)-$J16=0,1,IF(VLOOKUP($A16,'TL0-5 Elements'!$A$2:$I$53,9,FALSE)-$J16=-1,2,IF(VLOOKUP($A16,'TL0-5 Elements'!$A$2:$I$53,9,FALSE)-$J16=-2,4,IF(VLOOKUP($A16,'TL0-5 Elements'!$A$2:$I$53,9,FALSE)-$J16=-3,8,IF(VLOOKUP($A16,'TL0-5 Elements'!$A$2:$I$53,9,FALSE)-$J16=-4,16,"Invalid")))))</f>
        <v>1</v>
      </c>
      <c r="L16" s="10">
        <v>1</v>
      </c>
      <c r="M16" s="44">
        <v>1</v>
      </c>
      <c r="N16" s="2" t="s">
        <v>138</v>
      </c>
      <c r="O16" s="2">
        <f>VLOOKUP(N16,'Equipment &amp; Troop Q'!$A$3:$D$7,2,FALSE)</f>
        <v>0</v>
      </c>
      <c r="P16" s="2">
        <f>VLOOKUP($N16,'Equipment &amp; Troop Q'!$A$3:$D$7,3,FALSE)</f>
        <v>0</v>
      </c>
      <c r="Q16" s="2">
        <f>VLOOKUP($N16,'Equipment &amp; Troop Q'!$A$3:$D$7,4,FALSE)</f>
        <v>0</v>
      </c>
      <c r="R16" s="2" t="s">
        <v>141</v>
      </c>
      <c r="S16" s="2">
        <f>VLOOKUP($R16,'Equipment &amp; Troop Q'!$A$13:$D$16,2,FALSE)</f>
        <v>0</v>
      </c>
      <c r="T16" s="2">
        <f>IF(OR(V16="Fanatic",Z16="Fanatic",AD16="Fanatic",AH16="Fanatic"),VLOOKUP($R16,'Equipment &amp; Troop Q'!$A$18:$D$19,3,FALSE),VLOOKUP($R16,'Equipment &amp; Troop Q'!$A$13:$D$16,3,FALSE))</f>
        <v>0</v>
      </c>
      <c r="U16" s="2">
        <f>VLOOKUP($R16,'Equipment &amp; Troop Q'!$A$13:$D$16,4,FALSE)</f>
        <v>0</v>
      </c>
      <c r="V16" s="2" t="s">
        <v>101</v>
      </c>
      <c r="W16" s="2">
        <f>VLOOKUP($V16,'Equipment &amp; Troop Q'!$F$3:$I$30,2,FALSE)</f>
        <v>0</v>
      </c>
      <c r="X16" s="2">
        <f>VLOOKUP($V16,'Equipment &amp; Troop Q'!$F$3:$I$30,3,FALSE)</f>
        <v>0</v>
      </c>
      <c r="Y16" s="2">
        <f>VLOOKUP($V16,'Equipment &amp; Troop Q'!$F$3:$I$30,4,FALSE)</f>
        <v>0</v>
      </c>
      <c r="Z16" s="2" t="s">
        <v>101</v>
      </c>
      <c r="AA16" s="2">
        <f>VLOOKUP($Z16,'Equipment &amp; Troop Q'!$F$3:$I$30,2,FALSE)</f>
        <v>0</v>
      </c>
      <c r="AB16" s="2">
        <f>VLOOKUP($Z16,'Equipment &amp; Troop Q'!$F$3:$I$30,3,FALSE)</f>
        <v>0</v>
      </c>
      <c r="AC16" s="2">
        <f>VLOOKUP($Z16,'Equipment &amp; Troop Q'!$F$3:$I$30,4,FALSE)</f>
        <v>0</v>
      </c>
      <c r="AD16" s="2" t="s">
        <v>101</v>
      </c>
      <c r="AE16" s="2">
        <f>VLOOKUP($AD16,'Equipment &amp; Troop Q'!$F$3:$I$30,2,FALSE)</f>
        <v>0</v>
      </c>
      <c r="AF16" s="2">
        <f>VLOOKUP($AD16,'Equipment &amp; Troop Q'!$F$3:$I$30,3,FALSE)</f>
        <v>0</v>
      </c>
      <c r="AG16" s="2">
        <f>VLOOKUP($AD16,'Equipment &amp; Troop Q'!$F$3:$I$30,4,FALSE)</f>
        <v>0</v>
      </c>
      <c r="AH16" s="2" t="s">
        <v>101</v>
      </c>
      <c r="AI16" s="2">
        <f>VLOOKUP($AH16,'Equipment &amp; Troop Q'!$F$3:$I$30,2,FALSE)</f>
        <v>0</v>
      </c>
      <c r="AJ16" s="2">
        <f>VLOOKUP($AH16,'Equipment &amp; Troop Q'!$F$3:$I$30,3,FALSE)</f>
        <v>0</v>
      </c>
      <c r="AK16" s="2">
        <f>VLOOKUP($AH16,'Equipment &amp; Troop Q'!$F$3:$I$30,4,FALSE)</f>
        <v>0</v>
      </c>
    </row>
    <row r="17" spans="1:37" x14ac:dyDescent="0.2">
      <c r="A17" s="5" t="s">
        <v>101</v>
      </c>
      <c r="B17" s="43">
        <f>((((VLOOKUP($A17,'TL0-5 Elements'!$A$2:$I$53,2,FALSE))*K17)*L17)*(1+O17+S17+W17+AA17+AE17+AI17))*M17</f>
        <v>0</v>
      </c>
      <c r="C17" s="43" t="str">
        <f>VLOOKUP($A17,'TL0-5 Elements'!$A$2:$I$53,3,FALSE)</f>
        <v>-</v>
      </c>
      <c r="D17" s="43">
        <f t="shared" si="0"/>
        <v>0</v>
      </c>
      <c r="E17" s="43" t="str">
        <f>VLOOKUP($A17,'TL0-5 Elements'!$A$2:$I$53,4,FALSE)</f>
        <v>-</v>
      </c>
      <c r="F17" s="43" t="str">
        <f>VLOOKUP($A17,'TL0-5 Elements'!$A$2:$I$53,5,FALSE)</f>
        <v>-</v>
      </c>
      <c r="G17" s="43" t="str">
        <f>VLOOKUP($A17,'TL0-5 Elements'!$A$2:$I$53,6,FALSE)</f>
        <v>-</v>
      </c>
      <c r="H17" s="45">
        <f>(((VLOOKUP($A17,'TL0-5 Elements'!$A$2:$I$53,7,FALSE))*L17)*(1+P17+T17+X17+AB17+AF17+AJ17))*M17</f>
        <v>0</v>
      </c>
      <c r="I17" s="45">
        <f>(((VLOOKUP($A17,'TL0-5 Elements'!$A$2:$I$53,8,FALSE))*L17)*(1+Q17+U17+Y17+AC17+AG17+AK17))*M17</f>
        <v>0</v>
      </c>
      <c r="J17" s="43">
        <f>VLOOKUP(A17,'TL0-5 Elements'!$A$2:$I$53,9,FALSE)</f>
        <v>0</v>
      </c>
      <c r="K17" s="2">
        <f>IF(VLOOKUP($A17,'TL0-5 Elements'!$A$2:$I$53,9,FALSE)-$J17=0,1,IF(VLOOKUP($A17,'TL0-5 Elements'!$A$2:$I$53,9,FALSE)-$J17=-1,2,IF(VLOOKUP($A17,'TL0-5 Elements'!$A$2:$I$53,9,FALSE)-$J17=-2,4,IF(VLOOKUP($A17,'TL0-5 Elements'!$A$2:$I$53,9,FALSE)-$J17=-3,8,IF(VLOOKUP($A17,'TL0-5 Elements'!$A$2:$I$53,9,FALSE)-$J17=-4,16,"Invalid")))))</f>
        <v>1</v>
      </c>
      <c r="L17" s="10">
        <v>1</v>
      </c>
      <c r="M17" s="44">
        <v>1</v>
      </c>
      <c r="N17" s="2" t="s">
        <v>138</v>
      </c>
      <c r="O17" s="2">
        <f>VLOOKUP(N17,'Equipment &amp; Troop Q'!$A$3:$D$7,2,FALSE)</f>
        <v>0</v>
      </c>
      <c r="P17" s="2">
        <f>VLOOKUP($N17,'Equipment &amp; Troop Q'!$A$3:$D$7,3,FALSE)</f>
        <v>0</v>
      </c>
      <c r="Q17" s="2">
        <f>VLOOKUP($N17,'Equipment &amp; Troop Q'!$A$3:$D$7,4,FALSE)</f>
        <v>0</v>
      </c>
      <c r="R17" s="2" t="s">
        <v>141</v>
      </c>
      <c r="S17" s="2">
        <f>VLOOKUP($R17,'Equipment &amp; Troop Q'!$A$13:$D$16,2,FALSE)</f>
        <v>0</v>
      </c>
      <c r="T17" s="2">
        <f>IF(OR(V17="Fanatic",Z17="Fanatic",AD17="Fanatic",AH17="Fanatic"),VLOOKUP($R17,'Equipment &amp; Troop Q'!$A$18:$D$19,3,FALSE),VLOOKUP($R17,'Equipment &amp; Troop Q'!$A$13:$D$16,3,FALSE))</f>
        <v>0</v>
      </c>
      <c r="U17" s="2">
        <f>VLOOKUP($R17,'Equipment &amp; Troop Q'!$A$13:$D$16,4,FALSE)</f>
        <v>0</v>
      </c>
      <c r="V17" s="2" t="s">
        <v>101</v>
      </c>
      <c r="W17" s="2">
        <f>VLOOKUP($V17,'Equipment &amp; Troop Q'!$F$3:$I$30,2,FALSE)</f>
        <v>0</v>
      </c>
      <c r="X17" s="2">
        <f>VLOOKUP($V17,'Equipment &amp; Troop Q'!$F$3:$I$30,3,FALSE)</f>
        <v>0</v>
      </c>
      <c r="Y17" s="2">
        <f>VLOOKUP($V17,'Equipment &amp; Troop Q'!$F$3:$I$30,4,FALSE)</f>
        <v>0</v>
      </c>
      <c r="Z17" s="2" t="s">
        <v>101</v>
      </c>
      <c r="AA17" s="2">
        <f>VLOOKUP($Z17,'Equipment &amp; Troop Q'!$F$3:$I$30,2,FALSE)</f>
        <v>0</v>
      </c>
      <c r="AB17" s="2">
        <f>VLOOKUP($Z17,'Equipment &amp; Troop Q'!$F$3:$I$30,3,FALSE)</f>
        <v>0</v>
      </c>
      <c r="AC17" s="2">
        <f>VLOOKUP($Z17,'Equipment &amp; Troop Q'!$F$3:$I$30,4,FALSE)</f>
        <v>0</v>
      </c>
      <c r="AD17" s="2" t="s">
        <v>101</v>
      </c>
      <c r="AE17" s="2">
        <f>VLOOKUP($AD17,'Equipment &amp; Troop Q'!$F$3:$I$30,2,FALSE)</f>
        <v>0</v>
      </c>
      <c r="AF17" s="2">
        <f>VLOOKUP($AD17,'Equipment &amp; Troop Q'!$F$3:$I$30,3,FALSE)</f>
        <v>0</v>
      </c>
      <c r="AG17" s="2">
        <f>VLOOKUP($AD17,'Equipment &amp; Troop Q'!$F$3:$I$30,4,FALSE)</f>
        <v>0</v>
      </c>
      <c r="AH17" s="2" t="s">
        <v>101</v>
      </c>
      <c r="AI17" s="2">
        <f>VLOOKUP($AH17,'Equipment &amp; Troop Q'!$F$3:$I$30,2,FALSE)</f>
        <v>0</v>
      </c>
      <c r="AJ17" s="2">
        <f>VLOOKUP($AH17,'Equipment &amp; Troop Q'!$F$3:$I$30,3,FALSE)</f>
        <v>0</v>
      </c>
      <c r="AK17" s="2">
        <f>VLOOKUP($AH17,'Equipment &amp; Troop Q'!$F$3:$I$30,4,FALSE)</f>
        <v>0</v>
      </c>
    </row>
    <row r="18" spans="1:37" x14ac:dyDescent="0.2">
      <c r="A18" s="5" t="s">
        <v>101</v>
      </c>
      <c r="B18" s="43">
        <f>((((VLOOKUP($A18,'TL0-5 Elements'!$A$2:$I$53,2,FALSE))*K18)*L18)*(1+O18+S18+W18+AA18+AE18+AI18))*M18</f>
        <v>0</v>
      </c>
      <c r="C18" s="43" t="str">
        <f>VLOOKUP($A18,'TL0-5 Elements'!$A$2:$I$53,3,FALSE)</f>
        <v>-</v>
      </c>
      <c r="D18" s="43">
        <f t="shared" si="0"/>
        <v>0</v>
      </c>
      <c r="E18" s="43" t="str">
        <f>VLOOKUP($A18,'TL0-5 Elements'!$A$2:$I$53,4,FALSE)</f>
        <v>-</v>
      </c>
      <c r="F18" s="43" t="str">
        <f>VLOOKUP($A18,'TL0-5 Elements'!$A$2:$I$53,5,FALSE)</f>
        <v>-</v>
      </c>
      <c r="G18" s="43" t="str">
        <f>VLOOKUP($A18,'TL0-5 Elements'!$A$2:$I$53,6,FALSE)</f>
        <v>-</v>
      </c>
      <c r="H18" s="45">
        <f>(((VLOOKUP($A18,'TL0-5 Elements'!$A$2:$I$53,7,FALSE))*L18)*(1+P18+T18+X18+AB18+AF18+AJ18))*M18</f>
        <v>0</v>
      </c>
      <c r="I18" s="45">
        <f>(((VLOOKUP($A18,'TL0-5 Elements'!$A$2:$I$53,8,FALSE))*L18)*(1+Q18+U18+Y18+AC18+AG18+AK18))*M18</f>
        <v>0</v>
      </c>
      <c r="J18" s="43">
        <f>VLOOKUP(A18,'TL0-5 Elements'!$A$2:$I$53,9,FALSE)</f>
        <v>0</v>
      </c>
      <c r="K18" s="2">
        <f>IF(VLOOKUP($A18,'TL0-5 Elements'!$A$2:$I$53,9,FALSE)-$J18=0,1,IF(VLOOKUP($A18,'TL0-5 Elements'!$A$2:$I$53,9,FALSE)-$J18=-1,2,IF(VLOOKUP($A18,'TL0-5 Elements'!$A$2:$I$53,9,FALSE)-$J18=-2,4,IF(VLOOKUP($A18,'TL0-5 Elements'!$A$2:$I$53,9,FALSE)-$J18=-3,8,IF(VLOOKUP($A18,'TL0-5 Elements'!$A$2:$I$53,9,FALSE)-$J18=-4,16,"Invalid")))))</f>
        <v>1</v>
      </c>
      <c r="L18" s="10">
        <v>1</v>
      </c>
      <c r="M18" s="44">
        <v>1</v>
      </c>
      <c r="N18" s="2" t="s">
        <v>138</v>
      </c>
      <c r="O18" s="2">
        <f>VLOOKUP(N18,'Equipment &amp; Troop Q'!$A$3:$D$7,2,FALSE)</f>
        <v>0</v>
      </c>
      <c r="P18" s="2">
        <f>VLOOKUP($N18,'Equipment &amp; Troop Q'!$A$3:$D$7,3,FALSE)</f>
        <v>0</v>
      </c>
      <c r="Q18" s="2">
        <f>VLOOKUP($N18,'Equipment &amp; Troop Q'!$A$3:$D$7,4,FALSE)</f>
        <v>0</v>
      </c>
      <c r="R18" s="2" t="s">
        <v>141</v>
      </c>
      <c r="S18" s="2">
        <f>VLOOKUP($R18,'Equipment &amp; Troop Q'!$A$13:$D$16,2,FALSE)</f>
        <v>0</v>
      </c>
      <c r="T18" s="2">
        <f>IF(OR(V18="Fanatic",Z18="Fanatic",AD18="Fanatic",AH18="Fanatic"),VLOOKUP($R18,'Equipment &amp; Troop Q'!$A$18:$D$19,3,FALSE),VLOOKUP($R18,'Equipment &amp; Troop Q'!$A$13:$D$16,3,FALSE))</f>
        <v>0</v>
      </c>
      <c r="U18" s="2">
        <f>VLOOKUP($R18,'Equipment &amp; Troop Q'!$A$13:$D$16,4,FALSE)</f>
        <v>0</v>
      </c>
      <c r="V18" s="2" t="s">
        <v>101</v>
      </c>
      <c r="W18" s="2">
        <f>VLOOKUP($V18,'Equipment &amp; Troop Q'!$F$3:$I$30,2,FALSE)</f>
        <v>0</v>
      </c>
      <c r="X18" s="2">
        <f>VLOOKUP($V18,'Equipment &amp; Troop Q'!$F$3:$I$30,3,FALSE)</f>
        <v>0</v>
      </c>
      <c r="Y18" s="2">
        <f>VLOOKUP($V18,'Equipment &amp; Troop Q'!$F$3:$I$30,4,FALSE)</f>
        <v>0</v>
      </c>
      <c r="Z18" s="2" t="s">
        <v>101</v>
      </c>
      <c r="AA18" s="2">
        <f>VLOOKUP($Z18,'Equipment &amp; Troop Q'!$F$3:$I$30,2,FALSE)</f>
        <v>0</v>
      </c>
      <c r="AB18" s="2">
        <f>VLOOKUP($Z18,'Equipment &amp; Troop Q'!$F$3:$I$30,3,FALSE)</f>
        <v>0</v>
      </c>
      <c r="AC18" s="2">
        <f>VLOOKUP($Z18,'Equipment &amp; Troop Q'!$F$3:$I$30,4,FALSE)</f>
        <v>0</v>
      </c>
      <c r="AD18" s="2" t="s">
        <v>101</v>
      </c>
      <c r="AE18" s="2">
        <f>VLOOKUP($AD18,'Equipment &amp; Troop Q'!$F$3:$I$30,2,FALSE)</f>
        <v>0</v>
      </c>
      <c r="AF18" s="2">
        <f>VLOOKUP($AD18,'Equipment &amp; Troop Q'!$F$3:$I$30,3,FALSE)</f>
        <v>0</v>
      </c>
      <c r="AG18" s="2">
        <f>VLOOKUP($AD18,'Equipment &amp; Troop Q'!$F$3:$I$30,4,FALSE)</f>
        <v>0</v>
      </c>
      <c r="AH18" s="2" t="s">
        <v>101</v>
      </c>
      <c r="AI18" s="2">
        <f>VLOOKUP($AH18,'Equipment &amp; Troop Q'!$F$3:$I$30,2,FALSE)</f>
        <v>0</v>
      </c>
      <c r="AJ18" s="2">
        <f>VLOOKUP($AH18,'Equipment &amp; Troop Q'!$F$3:$I$30,3,FALSE)</f>
        <v>0</v>
      </c>
      <c r="AK18" s="2">
        <f>VLOOKUP($AH18,'Equipment &amp; Troop Q'!$F$3:$I$30,4,FALSE)</f>
        <v>0</v>
      </c>
    </row>
    <row r="19" spans="1:37" x14ac:dyDescent="0.2">
      <c r="A19" s="5" t="s">
        <v>101</v>
      </c>
      <c r="B19" s="43">
        <f>((((VLOOKUP($A19,'TL0-5 Elements'!$A$2:$I$53,2,FALSE))*K19)*L19)*(1+O19+S19+W19+AA19+AE19+AI19))*M19</f>
        <v>0</v>
      </c>
      <c r="C19" s="43" t="str">
        <f>VLOOKUP($A19,'TL0-5 Elements'!$A$2:$I$53,3,FALSE)</f>
        <v>-</v>
      </c>
      <c r="D19" s="43">
        <f t="shared" si="0"/>
        <v>0</v>
      </c>
      <c r="E19" s="43" t="str">
        <f>VLOOKUP($A19,'TL0-5 Elements'!$A$2:$I$53,4,FALSE)</f>
        <v>-</v>
      </c>
      <c r="F19" s="43" t="str">
        <f>VLOOKUP($A19,'TL0-5 Elements'!$A$2:$I$53,5,FALSE)</f>
        <v>-</v>
      </c>
      <c r="G19" s="43" t="str">
        <f>VLOOKUP($A19,'TL0-5 Elements'!$A$2:$I$53,6,FALSE)</f>
        <v>-</v>
      </c>
      <c r="H19" s="45">
        <f>(((VLOOKUP($A19,'TL0-5 Elements'!$A$2:$I$53,7,FALSE))*L19)*(1+P19+T19+X19+AB19+AF19+AJ19))*M19</f>
        <v>0</v>
      </c>
      <c r="I19" s="45">
        <f>(((VLOOKUP($A19,'TL0-5 Elements'!$A$2:$I$53,8,FALSE))*L19)*(1+Q19+U19+Y19+AC19+AG19+AK19))*M19</f>
        <v>0</v>
      </c>
      <c r="J19" s="43">
        <f>VLOOKUP(A19,'TL0-5 Elements'!$A$2:$I$53,9,FALSE)</f>
        <v>0</v>
      </c>
      <c r="K19" s="2">
        <f>IF(VLOOKUP($A19,'TL0-5 Elements'!$A$2:$I$53,9,FALSE)-$J19=0,1,IF(VLOOKUP($A19,'TL0-5 Elements'!$A$2:$I$53,9,FALSE)-$J19=-1,2,IF(VLOOKUP($A19,'TL0-5 Elements'!$A$2:$I$53,9,FALSE)-$J19=-2,4,IF(VLOOKUP($A19,'TL0-5 Elements'!$A$2:$I$53,9,FALSE)-$J19=-3,8,IF(VLOOKUP($A19,'TL0-5 Elements'!$A$2:$I$53,9,FALSE)-$J19=-4,16,"Invalid")))))</f>
        <v>1</v>
      </c>
      <c r="L19" s="10">
        <v>1</v>
      </c>
      <c r="M19" s="44">
        <v>1</v>
      </c>
      <c r="N19" s="2" t="s">
        <v>138</v>
      </c>
      <c r="O19" s="2">
        <f>VLOOKUP(N19,'Equipment &amp; Troop Q'!$A$3:$D$7,2,FALSE)</f>
        <v>0</v>
      </c>
      <c r="P19" s="2">
        <f>VLOOKUP($N19,'Equipment &amp; Troop Q'!$A$3:$D$7,3,FALSE)</f>
        <v>0</v>
      </c>
      <c r="Q19" s="2">
        <f>VLOOKUP($N19,'Equipment &amp; Troop Q'!$A$3:$D$7,4,FALSE)</f>
        <v>0</v>
      </c>
      <c r="R19" s="2" t="s">
        <v>141</v>
      </c>
      <c r="S19" s="2">
        <f>VLOOKUP($R19,'Equipment &amp; Troop Q'!$A$13:$D$16,2,FALSE)</f>
        <v>0</v>
      </c>
      <c r="T19" s="2">
        <f>IF(OR(V19="Fanatic",Z19="Fanatic",AD19="Fanatic",AH19="Fanatic"),VLOOKUP($R19,'Equipment &amp; Troop Q'!$A$18:$D$19,3,FALSE),VLOOKUP($R19,'Equipment &amp; Troop Q'!$A$13:$D$16,3,FALSE))</f>
        <v>0</v>
      </c>
      <c r="U19" s="2">
        <f>VLOOKUP($R19,'Equipment &amp; Troop Q'!$A$13:$D$16,4,FALSE)</f>
        <v>0</v>
      </c>
      <c r="V19" s="2" t="s">
        <v>101</v>
      </c>
      <c r="W19" s="2">
        <f>VLOOKUP($V19,'Equipment &amp; Troop Q'!$F$3:$I$30,2,FALSE)</f>
        <v>0</v>
      </c>
      <c r="X19" s="2">
        <f>VLOOKUP($V19,'Equipment &amp; Troop Q'!$F$3:$I$30,3,FALSE)</f>
        <v>0</v>
      </c>
      <c r="Y19" s="2">
        <f>VLOOKUP($V19,'Equipment &amp; Troop Q'!$F$3:$I$30,4,FALSE)</f>
        <v>0</v>
      </c>
      <c r="Z19" s="2" t="s">
        <v>101</v>
      </c>
      <c r="AA19" s="2">
        <f>VLOOKUP($Z19,'Equipment &amp; Troop Q'!$F$3:$I$30,2,FALSE)</f>
        <v>0</v>
      </c>
      <c r="AB19" s="2">
        <f>VLOOKUP($Z19,'Equipment &amp; Troop Q'!$F$3:$I$30,3,FALSE)</f>
        <v>0</v>
      </c>
      <c r="AC19" s="2">
        <f>VLOOKUP($Z19,'Equipment &amp; Troop Q'!$F$3:$I$30,4,FALSE)</f>
        <v>0</v>
      </c>
      <c r="AD19" s="2" t="s">
        <v>101</v>
      </c>
      <c r="AE19" s="2">
        <f>VLOOKUP($AD19,'Equipment &amp; Troop Q'!$F$3:$I$30,2,FALSE)</f>
        <v>0</v>
      </c>
      <c r="AF19" s="2">
        <f>VLOOKUP($AD19,'Equipment &amp; Troop Q'!$F$3:$I$30,3,FALSE)</f>
        <v>0</v>
      </c>
      <c r="AG19" s="2">
        <f>VLOOKUP($AD19,'Equipment &amp; Troop Q'!$F$3:$I$30,4,FALSE)</f>
        <v>0</v>
      </c>
      <c r="AH19" s="2" t="s">
        <v>101</v>
      </c>
      <c r="AI19" s="2">
        <f>VLOOKUP($AH19,'Equipment &amp; Troop Q'!$F$3:$I$30,2,FALSE)</f>
        <v>0</v>
      </c>
      <c r="AJ19" s="2">
        <f>VLOOKUP($AH19,'Equipment &amp; Troop Q'!$F$3:$I$30,3,FALSE)</f>
        <v>0</v>
      </c>
      <c r="AK19" s="2">
        <f>VLOOKUP($AH19,'Equipment &amp; Troop Q'!$F$3:$I$30,4,FALSE)</f>
        <v>0</v>
      </c>
    </row>
    <row r="20" spans="1:37" x14ac:dyDescent="0.2">
      <c r="A20" s="5" t="s">
        <v>101</v>
      </c>
      <c r="B20" s="43">
        <f>((((VLOOKUP($A20,'TL0-5 Elements'!$A$2:$I$53,2,FALSE))*K20)*L20)*(1+O20+S20+W20+AA20+AE20+AI20))*M20</f>
        <v>0</v>
      </c>
      <c r="C20" s="43" t="str">
        <f>VLOOKUP($A20,'TL0-5 Elements'!$A$2:$I$53,3,FALSE)</f>
        <v>-</v>
      </c>
      <c r="D20" s="43">
        <f t="shared" si="0"/>
        <v>0</v>
      </c>
      <c r="E20" s="43" t="str">
        <f>VLOOKUP($A20,'TL0-5 Elements'!$A$2:$I$53,4,FALSE)</f>
        <v>-</v>
      </c>
      <c r="F20" s="43" t="str">
        <f>VLOOKUP($A20,'TL0-5 Elements'!$A$2:$I$53,5,FALSE)</f>
        <v>-</v>
      </c>
      <c r="G20" s="43" t="str">
        <f>VLOOKUP($A20,'TL0-5 Elements'!$A$2:$I$53,6,FALSE)</f>
        <v>-</v>
      </c>
      <c r="H20" s="45">
        <f>(((VLOOKUP($A20,'TL0-5 Elements'!$A$2:$I$53,7,FALSE))*L20)*(1+P20+T20+X20+AB20+AF20+AJ20))*M20</f>
        <v>0</v>
      </c>
      <c r="I20" s="45">
        <f>(((VLOOKUP($A20,'TL0-5 Elements'!$A$2:$I$53,8,FALSE))*L20)*(1+Q20+U20+Y20+AC20+AG20+AK20))*M20</f>
        <v>0</v>
      </c>
      <c r="J20" s="43">
        <f>VLOOKUP(A20,'TL0-5 Elements'!$A$2:$I$53,9,FALSE)</f>
        <v>0</v>
      </c>
      <c r="K20" s="2">
        <f>IF(VLOOKUP($A20,'TL0-5 Elements'!$A$2:$I$53,9,FALSE)-$J20=0,1,IF(VLOOKUP($A20,'TL0-5 Elements'!$A$2:$I$53,9,FALSE)-$J20=-1,2,IF(VLOOKUP($A20,'TL0-5 Elements'!$A$2:$I$53,9,FALSE)-$J20=-2,4,IF(VLOOKUP($A20,'TL0-5 Elements'!$A$2:$I$53,9,FALSE)-$J20=-3,8,IF(VLOOKUP($A20,'TL0-5 Elements'!$A$2:$I$53,9,FALSE)-$J20=-4,16,"Invalid")))))</f>
        <v>1</v>
      </c>
      <c r="L20" s="10">
        <v>1</v>
      </c>
      <c r="M20" s="44">
        <v>1</v>
      </c>
      <c r="N20" s="2" t="s">
        <v>138</v>
      </c>
      <c r="O20" s="2">
        <f>VLOOKUP(N20,'Equipment &amp; Troop Q'!$A$3:$D$7,2,FALSE)</f>
        <v>0</v>
      </c>
      <c r="P20" s="2">
        <f>VLOOKUP($N20,'Equipment &amp; Troop Q'!$A$3:$D$7,3,FALSE)</f>
        <v>0</v>
      </c>
      <c r="Q20" s="2">
        <f>VLOOKUP($N20,'Equipment &amp; Troop Q'!$A$3:$D$7,4,FALSE)</f>
        <v>0</v>
      </c>
      <c r="R20" s="2" t="s">
        <v>141</v>
      </c>
      <c r="S20" s="2">
        <f>VLOOKUP($R20,'Equipment &amp; Troop Q'!$A$13:$D$16,2,FALSE)</f>
        <v>0</v>
      </c>
      <c r="T20" s="2">
        <f>IF(OR(V20="Fanatic",Z20="Fanatic",AD20="Fanatic",AH20="Fanatic"),VLOOKUP($R20,'Equipment &amp; Troop Q'!$A$18:$D$19,3,FALSE),VLOOKUP($R20,'Equipment &amp; Troop Q'!$A$13:$D$16,3,FALSE))</f>
        <v>0</v>
      </c>
      <c r="U20" s="2">
        <f>VLOOKUP($R20,'Equipment &amp; Troop Q'!$A$13:$D$16,4,FALSE)</f>
        <v>0</v>
      </c>
      <c r="V20" s="2" t="s">
        <v>101</v>
      </c>
      <c r="W20" s="2">
        <f>VLOOKUP($V20,'Equipment &amp; Troop Q'!$F$3:$I$30,2,FALSE)</f>
        <v>0</v>
      </c>
      <c r="X20" s="2">
        <f>VLOOKUP($V20,'Equipment &amp; Troop Q'!$F$3:$I$30,3,FALSE)</f>
        <v>0</v>
      </c>
      <c r="Y20" s="2">
        <f>VLOOKUP($V20,'Equipment &amp; Troop Q'!$F$3:$I$30,4,FALSE)</f>
        <v>0</v>
      </c>
      <c r="Z20" s="2" t="s">
        <v>101</v>
      </c>
      <c r="AA20" s="2">
        <f>VLOOKUP($Z20,'Equipment &amp; Troop Q'!$F$3:$I$30,2,FALSE)</f>
        <v>0</v>
      </c>
      <c r="AB20" s="2">
        <f>VLOOKUP($Z20,'Equipment &amp; Troop Q'!$F$3:$I$30,3,FALSE)</f>
        <v>0</v>
      </c>
      <c r="AC20" s="2">
        <f>VLOOKUP($Z20,'Equipment &amp; Troop Q'!$F$3:$I$30,4,FALSE)</f>
        <v>0</v>
      </c>
      <c r="AD20" s="2" t="s">
        <v>101</v>
      </c>
      <c r="AE20" s="2">
        <f>VLOOKUP($AD20,'Equipment &amp; Troop Q'!$F$3:$I$30,2,FALSE)</f>
        <v>0</v>
      </c>
      <c r="AF20" s="2">
        <f>VLOOKUP($AD20,'Equipment &amp; Troop Q'!$F$3:$I$30,3,FALSE)</f>
        <v>0</v>
      </c>
      <c r="AG20" s="2">
        <f>VLOOKUP($AD20,'Equipment &amp; Troop Q'!$F$3:$I$30,4,FALSE)</f>
        <v>0</v>
      </c>
      <c r="AH20" s="2" t="s">
        <v>101</v>
      </c>
      <c r="AI20" s="2">
        <f>VLOOKUP($AH20,'Equipment &amp; Troop Q'!$F$3:$I$30,2,FALSE)</f>
        <v>0</v>
      </c>
      <c r="AJ20" s="2">
        <f>VLOOKUP($AH20,'Equipment &amp; Troop Q'!$F$3:$I$30,3,FALSE)</f>
        <v>0</v>
      </c>
      <c r="AK20" s="2">
        <f>VLOOKUP($AH20,'Equipment &amp; Troop Q'!$F$3:$I$30,4,FALSE)</f>
        <v>0</v>
      </c>
    </row>
    <row r="21" spans="1:37" x14ac:dyDescent="0.2">
      <c r="A21" s="5" t="s">
        <v>101</v>
      </c>
      <c r="B21" s="43">
        <f>((((VLOOKUP($A21,'TL0-5 Elements'!$A$2:$I$53,2,FALSE))*K21)*L21)*(1+O21+S21+W21+AA21+AE21+AI21))*M21</f>
        <v>0</v>
      </c>
      <c r="C21" s="43" t="str">
        <f>VLOOKUP($A21,'TL0-5 Elements'!$A$2:$I$53,3,FALSE)</f>
        <v>-</v>
      </c>
      <c r="D21" s="43">
        <f t="shared" si="0"/>
        <v>0</v>
      </c>
      <c r="E21" s="43" t="str">
        <f>VLOOKUP($A21,'TL0-5 Elements'!$A$2:$I$53,4,FALSE)</f>
        <v>-</v>
      </c>
      <c r="F21" s="43" t="str">
        <f>VLOOKUP($A21,'TL0-5 Elements'!$A$2:$I$53,5,FALSE)</f>
        <v>-</v>
      </c>
      <c r="G21" s="43" t="str">
        <f>VLOOKUP($A21,'TL0-5 Elements'!$A$2:$I$53,6,FALSE)</f>
        <v>-</v>
      </c>
      <c r="H21" s="45">
        <f>(((VLOOKUP($A21,'TL0-5 Elements'!$A$2:$I$53,7,FALSE))*L21)*(1+P21+T21+X21+AB21+AF21+AJ21))*M21</f>
        <v>0</v>
      </c>
      <c r="I21" s="45">
        <f>(((VLOOKUP($A21,'TL0-5 Elements'!$A$2:$I$53,8,FALSE))*L21)*(1+Q21+U21+Y21+AC21+AG21+AK21))*M21</f>
        <v>0</v>
      </c>
      <c r="J21" s="43">
        <f>VLOOKUP(A21,'TL0-5 Elements'!$A$2:$I$53,9,FALSE)</f>
        <v>0</v>
      </c>
      <c r="K21" s="2">
        <f>IF(VLOOKUP($A21,'TL0-5 Elements'!$A$2:$I$53,9,FALSE)-$J21=0,1,IF(VLOOKUP($A21,'TL0-5 Elements'!$A$2:$I$53,9,FALSE)-$J21=-1,2,IF(VLOOKUP($A21,'TL0-5 Elements'!$A$2:$I$53,9,FALSE)-$J21=-2,4,IF(VLOOKUP($A21,'TL0-5 Elements'!$A$2:$I$53,9,FALSE)-$J21=-3,8,IF(VLOOKUP($A21,'TL0-5 Elements'!$A$2:$I$53,9,FALSE)-$J21=-4,16,"Invalid")))))</f>
        <v>1</v>
      </c>
      <c r="L21" s="10">
        <v>1</v>
      </c>
      <c r="M21" s="44">
        <v>1</v>
      </c>
      <c r="N21" s="2" t="s">
        <v>138</v>
      </c>
      <c r="O21" s="2">
        <f>VLOOKUP(N21,'Equipment &amp; Troop Q'!$A$3:$D$7,2,FALSE)</f>
        <v>0</v>
      </c>
      <c r="P21" s="2">
        <f>VLOOKUP($N21,'Equipment &amp; Troop Q'!$A$3:$D$7,3,FALSE)</f>
        <v>0</v>
      </c>
      <c r="Q21" s="2">
        <f>VLOOKUP($N21,'Equipment &amp; Troop Q'!$A$3:$D$7,4,FALSE)</f>
        <v>0</v>
      </c>
      <c r="R21" s="2" t="s">
        <v>141</v>
      </c>
      <c r="S21" s="2">
        <f>VLOOKUP($R21,'Equipment &amp; Troop Q'!$A$13:$D$16,2,FALSE)</f>
        <v>0</v>
      </c>
      <c r="T21" s="2">
        <f>IF(OR(V21="Fanatic",Z21="Fanatic",AD21="Fanatic",AH21="Fanatic"),VLOOKUP($R21,'Equipment &amp; Troop Q'!$A$18:$D$19,3,FALSE),VLOOKUP($R21,'Equipment &amp; Troop Q'!$A$13:$D$16,3,FALSE))</f>
        <v>0</v>
      </c>
      <c r="U21" s="2">
        <f>VLOOKUP($R21,'Equipment &amp; Troop Q'!$A$13:$D$16,4,FALSE)</f>
        <v>0</v>
      </c>
      <c r="V21" s="2" t="s">
        <v>101</v>
      </c>
      <c r="W21" s="2">
        <f>VLOOKUP($V21,'Equipment &amp; Troop Q'!$F$3:$I$30,2,FALSE)</f>
        <v>0</v>
      </c>
      <c r="X21" s="2">
        <f>VLOOKUP($V21,'Equipment &amp; Troop Q'!$F$3:$I$30,3,FALSE)</f>
        <v>0</v>
      </c>
      <c r="Y21" s="2">
        <f>VLOOKUP($V21,'Equipment &amp; Troop Q'!$F$3:$I$30,4,FALSE)</f>
        <v>0</v>
      </c>
      <c r="Z21" s="2" t="s">
        <v>101</v>
      </c>
      <c r="AA21" s="2">
        <f>VLOOKUP($Z21,'Equipment &amp; Troop Q'!$F$3:$I$30,2,FALSE)</f>
        <v>0</v>
      </c>
      <c r="AB21" s="2">
        <f>VLOOKUP($Z21,'Equipment &amp; Troop Q'!$F$3:$I$30,3,FALSE)</f>
        <v>0</v>
      </c>
      <c r="AC21" s="2">
        <f>VLOOKUP($Z21,'Equipment &amp; Troop Q'!$F$3:$I$30,4,FALSE)</f>
        <v>0</v>
      </c>
      <c r="AD21" s="2" t="s">
        <v>101</v>
      </c>
      <c r="AE21" s="2">
        <f>VLOOKUP($AD21,'Equipment &amp; Troop Q'!$F$3:$I$30,2,FALSE)</f>
        <v>0</v>
      </c>
      <c r="AF21" s="2">
        <f>VLOOKUP($AD21,'Equipment &amp; Troop Q'!$F$3:$I$30,3,FALSE)</f>
        <v>0</v>
      </c>
      <c r="AG21" s="2">
        <f>VLOOKUP($AD21,'Equipment &amp; Troop Q'!$F$3:$I$30,4,FALSE)</f>
        <v>0</v>
      </c>
      <c r="AH21" s="2" t="s">
        <v>101</v>
      </c>
      <c r="AI21" s="2">
        <f>VLOOKUP($AH21,'Equipment &amp; Troop Q'!$F$3:$I$30,2,FALSE)</f>
        <v>0</v>
      </c>
      <c r="AJ21" s="2">
        <f>VLOOKUP($AH21,'Equipment &amp; Troop Q'!$F$3:$I$30,3,FALSE)</f>
        <v>0</v>
      </c>
      <c r="AK21" s="2">
        <f>VLOOKUP($AH21,'Equipment &amp; Troop Q'!$F$3:$I$30,4,FALSE)</f>
        <v>0</v>
      </c>
    </row>
    <row r="22" spans="1:37" x14ac:dyDescent="0.2">
      <c r="A22" s="5" t="s">
        <v>101</v>
      </c>
      <c r="B22" s="43">
        <f>((((VLOOKUP($A22,'TL0-5 Elements'!$A$2:$I$53,2,FALSE))*K22)*L22)*(1+O22+S22+W22+AA22+AE22+AI22))*M22</f>
        <v>0</v>
      </c>
      <c r="C22" s="43" t="str">
        <f>VLOOKUP($A22,'TL0-5 Elements'!$A$2:$I$53,3,FALSE)</f>
        <v>-</v>
      </c>
      <c r="D22" s="43">
        <f t="shared" si="0"/>
        <v>0</v>
      </c>
      <c r="E22" s="43" t="str">
        <f>VLOOKUP($A22,'TL0-5 Elements'!$A$2:$I$53,4,FALSE)</f>
        <v>-</v>
      </c>
      <c r="F22" s="43" t="str">
        <f>VLOOKUP($A22,'TL0-5 Elements'!$A$2:$I$53,5,FALSE)</f>
        <v>-</v>
      </c>
      <c r="G22" s="43" t="str">
        <f>VLOOKUP($A22,'TL0-5 Elements'!$A$2:$I$53,6,FALSE)</f>
        <v>-</v>
      </c>
      <c r="H22" s="45">
        <f>(((VLOOKUP($A22,'TL0-5 Elements'!$A$2:$I$53,7,FALSE))*L22)*(1+P22+T22+X22+AB22+AF22+AJ22))*M22</f>
        <v>0</v>
      </c>
      <c r="I22" s="45">
        <f>(((VLOOKUP($A22,'TL0-5 Elements'!$A$2:$I$53,8,FALSE))*L22)*(1+Q22+U22+Y22+AC22+AG22+AK22))*M22</f>
        <v>0</v>
      </c>
      <c r="J22" s="43">
        <f>VLOOKUP(A22,'TL0-5 Elements'!$A$2:$I$53,9,FALSE)</f>
        <v>0</v>
      </c>
      <c r="K22" s="2">
        <f>IF(VLOOKUP($A22,'TL0-5 Elements'!$A$2:$I$53,9,FALSE)-$J22=0,1,IF(VLOOKUP($A22,'TL0-5 Elements'!$A$2:$I$53,9,FALSE)-$J22=-1,2,IF(VLOOKUP($A22,'TL0-5 Elements'!$A$2:$I$53,9,FALSE)-$J22=-2,4,IF(VLOOKUP($A22,'TL0-5 Elements'!$A$2:$I$53,9,FALSE)-$J22=-3,8,IF(VLOOKUP($A22,'TL0-5 Elements'!$A$2:$I$53,9,FALSE)-$J22=-4,16,"Invalid")))))</f>
        <v>1</v>
      </c>
      <c r="L22" s="10">
        <v>1</v>
      </c>
      <c r="M22" s="44">
        <v>1</v>
      </c>
      <c r="N22" s="2" t="s">
        <v>138</v>
      </c>
      <c r="O22" s="2">
        <f>VLOOKUP(N22,'Equipment &amp; Troop Q'!$A$3:$D$7,2,FALSE)</f>
        <v>0</v>
      </c>
      <c r="P22" s="2">
        <f>VLOOKUP($N22,'Equipment &amp; Troop Q'!$A$3:$D$7,3,FALSE)</f>
        <v>0</v>
      </c>
      <c r="Q22" s="2">
        <f>VLOOKUP($N22,'Equipment &amp; Troop Q'!$A$3:$D$7,4,FALSE)</f>
        <v>0</v>
      </c>
      <c r="R22" s="2" t="s">
        <v>141</v>
      </c>
      <c r="S22" s="2">
        <f>VLOOKUP($R22,'Equipment &amp; Troop Q'!$A$13:$D$16,2,FALSE)</f>
        <v>0</v>
      </c>
      <c r="T22" s="2">
        <f>IF(OR(V22="Fanatic",Z22="Fanatic",AD22="Fanatic",AH22="Fanatic"),VLOOKUP($R22,'Equipment &amp; Troop Q'!$A$18:$D$19,3,FALSE),VLOOKUP($R22,'Equipment &amp; Troop Q'!$A$13:$D$16,3,FALSE))</f>
        <v>0</v>
      </c>
      <c r="U22" s="2">
        <f>VLOOKUP($R22,'Equipment &amp; Troop Q'!$A$13:$D$16,4,FALSE)</f>
        <v>0</v>
      </c>
      <c r="V22" s="2" t="s">
        <v>101</v>
      </c>
      <c r="W22" s="2">
        <f>VLOOKUP($V22,'Equipment &amp; Troop Q'!$F$3:$I$30,2,FALSE)</f>
        <v>0</v>
      </c>
      <c r="X22" s="2">
        <f>VLOOKUP($V22,'Equipment &amp; Troop Q'!$F$3:$I$30,3,FALSE)</f>
        <v>0</v>
      </c>
      <c r="Y22" s="2">
        <f>VLOOKUP($V22,'Equipment &amp; Troop Q'!$F$3:$I$30,4,FALSE)</f>
        <v>0</v>
      </c>
      <c r="Z22" s="2" t="s">
        <v>101</v>
      </c>
      <c r="AA22" s="2">
        <f>VLOOKUP($Z22,'Equipment &amp; Troop Q'!$F$3:$I$30,2,FALSE)</f>
        <v>0</v>
      </c>
      <c r="AB22" s="2">
        <f>VLOOKUP($Z22,'Equipment &amp; Troop Q'!$F$3:$I$30,3,FALSE)</f>
        <v>0</v>
      </c>
      <c r="AC22" s="2">
        <f>VLOOKUP($Z22,'Equipment &amp; Troop Q'!$F$3:$I$30,4,FALSE)</f>
        <v>0</v>
      </c>
      <c r="AD22" s="2" t="s">
        <v>101</v>
      </c>
      <c r="AE22" s="2">
        <f>VLOOKUP($AD22,'Equipment &amp; Troop Q'!$F$3:$I$30,2,FALSE)</f>
        <v>0</v>
      </c>
      <c r="AF22" s="2">
        <f>VLOOKUP($AD22,'Equipment &amp; Troop Q'!$F$3:$I$30,3,FALSE)</f>
        <v>0</v>
      </c>
      <c r="AG22" s="2">
        <f>VLOOKUP($AD22,'Equipment &amp; Troop Q'!$F$3:$I$30,4,FALSE)</f>
        <v>0</v>
      </c>
      <c r="AH22" s="2" t="s">
        <v>101</v>
      </c>
      <c r="AI22" s="2">
        <f>VLOOKUP($AH22,'Equipment &amp; Troop Q'!$F$3:$I$30,2,FALSE)</f>
        <v>0</v>
      </c>
      <c r="AJ22" s="2">
        <f>VLOOKUP($AH22,'Equipment &amp; Troop Q'!$F$3:$I$30,3,FALSE)</f>
        <v>0</v>
      </c>
      <c r="AK22" s="2">
        <f>VLOOKUP($AH22,'Equipment &amp; Troop Q'!$F$3:$I$30,4,FALSE)</f>
        <v>0</v>
      </c>
    </row>
    <row r="23" spans="1:37" x14ac:dyDescent="0.2">
      <c r="A23" s="5" t="s">
        <v>101</v>
      </c>
      <c r="B23" s="43">
        <f>((((VLOOKUP($A23,'TL0-5 Elements'!$A$2:$I$53,2,FALSE))*K23)*L23)*(1+O23+S23+W23+AA23+AE23+AI23))*M23</f>
        <v>0</v>
      </c>
      <c r="C23" s="43" t="str">
        <f>VLOOKUP($A23,'TL0-5 Elements'!$A$2:$I$53,3,FALSE)</f>
        <v>-</v>
      </c>
      <c r="D23" s="43">
        <f t="shared" si="0"/>
        <v>0</v>
      </c>
      <c r="E23" s="43" t="str">
        <f>VLOOKUP($A23,'TL0-5 Elements'!$A$2:$I$53,4,FALSE)</f>
        <v>-</v>
      </c>
      <c r="F23" s="43" t="str">
        <f>VLOOKUP($A23,'TL0-5 Elements'!$A$2:$I$53,5,FALSE)</f>
        <v>-</v>
      </c>
      <c r="G23" s="43" t="str">
        <f>VLOOKUP($A23,'TL0-5 Elements'!$A$2:$I$53,6,FALSE)</f>
        <v>-</v>
      </c>
      <c r="H23" s="45">
        <f>(((VLOOKUP($A23,'TL0-5 Elements'!$A$2:$I$53,7,FALSE))*L23)*(1+P23+T23+X23+AB23+AF23+AJ23))*M23</f>
        <v>0</v>
      </c>
      <c r="I23" s="45">
        <f>(((VLOOKUP($A23,'TL0-5 Elements'!$A$2:$I$53,8,FALSE))*L23)*(1+Q23+U23+Y23+AC23+AG23+AK23))*M23</f>
        <v>0</v>
      </c>
      <c r="J23" s="43">
        <f>VLOOKUP(A23,'TL0-5 Elements'!$A$2:$I$53,9,FALSE)</f>
        <v>0</v>
      </c>
      <c r="K23" s="2">
        <f>IF(VLOOKUP($A23,'TL0-5 Elements'!$A$2:$I$53,9,FALSE)-$J23=0,1,IF(VLOOKUP($A23,'TL0-5 Elements'!$A$2:$I$53,9,FALSE)-$J23=-1,2,IF(VLOOKUP($A23,'TL0-5 Elements'!$A$2:$I$53,9,FALSE)-$J23=-2,4,IF(VLOOKUP($A23,'TL0-5 Elements'!$A$2:$I$53,9,FALSE)-$J23=-3,8,IF(VLOOKUP($A23,'TL0-5 Elements'!$A$2:$I$53,9,FALSE)-$J23=-4,16,"Invalid")))))</f>
        <v>1</v>
      </c>
      <c r="L23" s="10">
        <v>1</v>
      </c>
      <c r="M23" s="44">
        <v>1</v>
      </c>
      <c r="N23" s="2" t="s">
        <v>138</v>
      </c>
      <c r="O23" s="2">
        <f>VLOOKUP(N23,'Equipment &amp; Troop Q'!$A$3:$D$7,2,FALSE)</f>
        <v>0</v>
      </c>
      <c r="P23" s="2">
        <f>VLOOKUP($N23,'Equipment &amp; Troop Q'!$A$3:$D$7,3,FALSE)</f>
        <v>0</v>
      </c>
      <c r="Q23" s="2">
        <f>VLOOKUP($N23,'Equipment &amp; Troop Q'!$A$3:$D$7,4,FALSE)</f>
        <v>0</v>
      </c>
      <c r="R23" s="2" t="s">
        <v>141</v>
      </c>
      <c r="S23" s="2">
        <f>VLOOKUP($R23,'Equipment &amp; Troop Q'!$A$13:$D$16,2,FALSE)</f>
        <v>0</v>
      </c>
      <c r="T23" s="2">
        <f>IF(OR(V23="Fanatic",Z23="Fanatic",AD23="Fanatic",AH23="Fanatic"),VLOOKUP($R23,'Equipment &amp; Troop Q'!$A$18:$D$19,3,FALSE),VLOOKUP($R23,'Equipment &amp; Troop Q'!$A$13:$D$16,3,FALSE))</f>
        <v>0</v>
      </c>
      <c r="U23" s="2">
        <f>VLOOKUP($R23,'Equipment &amp; Troop Q'!$A$13:$D$16,4,FALSE)</f>
        <v>0</v>
      </c>
      <c r="V23" s="2" t="s">
        <v>101</v>
      </c>
      <c r="W23" s="2">
        <f>VLOOKUP($V23,'Equipment &amp; Troop Q'!$F$3:$I$30,2,FALSE)</f>
        <v>0</v>
      </c>
      <c r="X23" s="2">
        <f>VLOOKUP($V23,'Equipment &amp; Troop Q'!$F$3:$I$30,3,FALSE)</f>
        <v>0</v>
      </c>
      <c r="Y23" s="2">
        <f>VLOOKUP($V23,'Equipment &amp; Troop Q'!$F$3:$I$30,4,FALSE)</f>
        <v>0</v>
      </c>
      <c r="Z23" s="2" t="s">
        <v>101</v>
      </c>
      <c r="AA23" s="2">
        <f>VLOOKUP($Z23,'Equipment &amp; Troop Q'!$F$3:$I$30,2,FALSE)</f>
        <v>0</v>
      </c>
      <c r="AB23" s="2">
        <f>VLOOKUP($Z23,'Equipment &amp; Troop Q'!$F$3:$I$30,3,FALSE)</f>
        <v>0</v>
      </c>
      <c r="AC23" s="2">
        <f>VLOOKUP($Z23,'Equipment &amp; Troop Q'!$F$3:$I$30,4,FALSE)</f>
        <v>0</v>
      </c>
      <c r="AD23" s="2" t="s">
        <v>101</v>
      </c>
      <c r="AE23" s="2">
        <f>VLOOKUP($AD23,'Equipment &amp; Troop Q'!$F$3:$I$30,2,FALSE)</f>
        <v>0</v>
      </c>
      <c r="AF23" s="2">
        <f>VLOOKUP($AD23,'Equipment &amp; Troop Q'!$F$3:$I$30,3,FALSE)</f>
        <v>0</v>
      </c>
      <c r="AG23" s="2">
        <f>VLOOKUP($AD23,'Equipment &amp; Troop Q'!$F$3:$I$30,4,FALSE)</f>
        <v>0</v>
      </c>
      <c r="AH23" s="2" t="s">
        <v>101</v>
      </c>
      <c r="AI23" s="2">
        <f>VLOOKUP($AH23,'Equipment &amp; Troop Q'!$F$3:$I$30,2,FALSE)</f>
        <v>0</v>
      </c>
      <c r="AJ23" s="2">
        <f>VLOOKUP($AH23,'Equipment &amp; Troop Q'!$F$3:$I$30,3,FALSE)</f>
        <v>0</v>
      </c>
      <c r="AK23" s="2">
        <f>VLOOKUP($AH23,'Equipment &amp; Troop Q'!$F$3:$I$30,4,FALSE)</f>
        <v>0</v>
      </c>
    </row>
    <row r="24" spans="1:37" x14ac:dyDescent="0.2">
      <c r="A24" s="5" t="s">
        <v>101</v>
      </c>
      <c r="B24" s="43">
        <f>((((VLOOKUP($A24,'TL0-5 Elements'!$A$2:$I$53,2,FALSE))*K24)*L24)*(1+O24+S24+W24+AA24+AE24+AI24))*M24</f>
        <v>0</v>
      </c>
      <c r="C24" s="43" t="str">
        <f>VLOOKUP($A24,'TL0-5 Elements'!$A$2:$I$53,3,FALSE)</f>
        <v>-</v>
      </c>
      <c r="D24" s="43">
        <f t="shared" si="0"/>
        <v>0</v>
      </c>
      <c r="E24" s="43" t="str">
        <f>VLOOKUP($A24,'TL0-5 Elements'!$A$2:$I$53,4,FALSE)</f>
        <v>-</v>
      </c>
      <c r="F24" s="43" t="str">
        <f>VLOOKUP($A24,'TL0-5 Elements'!$A$2:$I$53,5,FALSE)</f>
        <v>-</v>
      </c>
      <c r="G24" s="43" t="str">
        <f>VLOOKUP($A24,'TL0-5 Elements'!$A$2:$I$53,6,FALSE)</f>
        <v>-</v>
      </c>
      <c r="H24" s="45">
        <f>(((VLOOKUP($A24,'TL0-5 Elements'!$A$2:$I$53,7,FALSE))*L24)*(1+P24+T24+X24+AB24+AF24+AJ24))*M24</f>
        <v>0</v>
      </c>
      <c r="I24" s="45">
        <f>(((VLOOKUP($A24,'TL0-5 Elements'!$A$2:$I$53,8,FALSE))*L24)*(1+Q24+U24+Y24+AC24+AG24+AK24))*M24</f>
        <v>0</v>
      </c>
      <c r="J24" s="43">
        <f>VLOOKUP(A24,'TL0-5 Elements'!$A$2:$I$53,9,FALSE)</f>
        <v>0</v>
      </c>
      <c r="K24" s="2">
        <f>IF(VLOOKUP($A24,'TL0-5 Elements'!$A$2:$I$53,9,FALSE)-$J24=0,1,IF(VLOOKUP($A24,'TL0-5 Elements'!$A$2:$I$53,9,FALSE)-$J24=-1,2,IF(VLOOKUP($A24,'TL0-5 Elements'!$A$2:$I$53,9,FALSE)-$J24=-2,4,IF(VLOOKUP($A24,'TL0-5 Elements'!$A$2:$I$53,9,FALSE)-$J24=-3,8,IF(VLOOKUP($A24,'TL0-5 Elements'!$A$2:$I$53,9,FALSE)-$J24=-4,16,"Invalid")))))</f>
        <v>1</v>
      </c>
      <c r="L24" s="10">
        <v>1</v>
      </c>
      <c r="M24" s="44">
        <v>1</v>
      </c>
      <c r="N24" s="2" t="s">
        <v>138</v>
      </c>
      <c r="O24" s="2">
        <f>VLOOKUP(N24,'Equipment &amp; Troop Q'!$A$3:$D$7,2,FALSE)</f>
        <v>0</v>
      </c>
      <c r="P24" s="2">
        <f>VLOOKUP($N24,'Equipment &amp; Troop Q'!$A$3:$D$7,3,FALSE)</f>
        <v>0</v>
      </c>
      <c r="Q24" s="2">
        <f>VLOOKUP($N24,'Equipment &amp; Troop Q'!$A$3:$D$7,4,FALSE)</f>
        <v>0</v>
      </c>
      <c r="R24" s="2" t="s">
        <v>141</v>
      </c>
      <c r="S24" s="2">
        <f>VLOOKUP($R24,'Equipment &amp; Troop Q'!$A$13:$D$16,2,FALSE)</f>
        <v>0</v>
      </c>
      <c r="T24" s="2">
        <f>IF(OR(V24="Fanatic",Z24="Fanatic",AD24="Fanatic",AH24="Fanatic"),VLOOKUP($R24,'Equipment &amp; Troop Q'!$A$18:$D$19,3,FALSE),VLOOKUP($R24,'Equipment &amp; Troop Q'!$A$13:$D$16,3,FALSE))</f>
        <v>0</v>
      </c>
      <c r="U24" s="2">
        <f>VLOOKUP($R24,'Equipment &amp; Troop Q'!$A$13:$D$16,4,FALSE)</f>
        <v>0</v>
      </c>
      <c r="V24" s="2" t="s">
        <v>101</v>
      </c>
      <c r="W24" s="2">
        <f>VLOOKUP($V24,'Equipment &amp; Troop Q'!$F$3:$I$30,2,FALSE)</f>
        <v>0</v>
      </c>
      <c r="X24" s="2">
        <f>VLOOKUP($V24,'Equipment &amp; Troop Q'!$F$3:$I$30,3,FALSE)</f>
        <v>0</v>
      </c>
      <c r="Y24" s="2">
        <f>VLOOKUP($V24,'Equipment &amp; Troop Q'!$F$3:$I$30,4,FALSE)</f>
        <v>0</v>
      </c>
      <c r="Z24" s="2" t="s">
        <v>101</v>
      </c>
      <c r="AA24" s="2">
        <f>VLOOKUP($Z24,'Equipment &amp; Troop Q'!$F$3:$I$30,2,FALSE)</f>
        <v>0</v>
      </c>
      <c r="AB24" s="2">
        <f>VLOOKUP($Z24,'Equipment &amp; Troop Q'!$F$3:$I$30,3,FALSE)</f>
        <v>0</v>
      </c>
      <c r="AC24" s="2">
        <f>VLOOKUP($Z24,'Equipment &amp; Troop Q'!$F$3:$I$30,4,FALSE)</f>
        <v>0</v>
      </c>
      <c r="AD24" s="2" t="s">
        <v>101</v>
      </c>
      <c r="AE24" s="2">
        <f>VLOOKUP($AD24,'Equipment &amp; Troop Q'!$F$3:$I$30,2,FALSE)</f>
        <v>0</v>
      </c>
      <c r="AF24" s="2">
        <f>VLOOKUP($AD24,'Equipment &amp; Troop Q'!$F$3:$I$30,3,FALSE)</f>
        <v>0</v>
      </c>
      <c r="AG24" s="2">
        <f>VLOOKUP($AD24,'Equipment &amp; Troop Q'!$F$3:$I$30,4,FALSE)</f>
        <v>0</v>
      </c>
      <c r="AH24" s="2" t="s">
        <v>101</v>
      </c>
      <c r="AI24" s="2">
        <f>VLOOKUP($AH24,'Equipment &amp; Troop Q'!$F$3:$I$30,2,FALSE)</f>
        <v>0</v>
      </c>
      <c r="AJ24" s="2">
        <f>VLOOKUP($AH24,'Equipment &amp; Troop Q'!$F$3:$I$30,3,FALSE)</f>
        <v>0</v>
      </c>
      <c r="AK24" s="2">
        <f>VLOOKUP($AH24,'Equipment &amp; Troop Q'!$F$3:$I$30,4,FALSE)</f>
        <v>0</v>
      </c>
    </row>
    <row r="25" spans="1:37" x14ac:dyDescent="0.2">
      <c r="A25" s="5" t="s">
        <v>101</v>
      </c>
      <c r="B25" s="43">
        <f>((((VLOOKUP($A25,'TL0-5 Elements'!$A$2:$I$53,2,FALSE))*K25)*L25)*(1+O25+S25+W25+AA25+AE25+AI25))*M25</f>
        <v>0</v>
      </c>
      <c r="C25" s="43" t="str">
        <f>VLOOKUP($A25,'TL0-5 Elements'!$A$2:$I$53,3,FALSE)</f>
        <v>-</v>
      </c>
      <c r="D25" s="43">
        <f t="shared" si="0"/>
        <v>0</v>
      </c>
      <c r="E25" s="43" t="str">
        <f>VLOOKUP($A25,'TL0-5 Elements'!$A$2:$I$53,4,FALSE)</f>
        <v>-</v>
      </c>
      <c r="F25" s="43" t="str">
        <f>VLOOKUP($A25,'TL0-5 Elements'!$A$2:$I$53,5,FALSE)</f>
        <v>-</v>
      </c>
      <c r="G25" s="43" t="str">
        <f>VLOOKUP($A25,'TL0-5 Elements'!$A$2:$I$53,6,FALSE)</f>
        <v>-</v>
      </c>
      <c r="H25" s="45">
        <f>(((VLOOKUP($A25,'TL0-5 Elements'!$A$2:$I$53,7,FALSE))*L25)*(1+P25+T25+X25+AB25+AF25+AJ25))*M25</f>
        <v>0</v>
      </c>
      <c r="I25" s="45">
        <f>(((VLOOKUP($A25,'TL0-5 Elements'!$A$2:$I$53,8,FALSE))*L25)*(1+Q25+U25+Y25+AC25+AG25+AK25))*M25</f>
        <v>0</v>
      </c>
      <c r="J25" s="43">
        <f>VLOOKUP(A25,'TL0-5 Elements'!$A$2:$I$53,9,FALSE)</f>
        <v>0</v>
      </c>
      <c r="K25" s="2">
        <f>IF(VLOOKUP($A25,'TL0-5 Elements'!$A$2:$I$53,9,FALSE)-$J25=0,1,IF(VLOOKUP($A25,'TL0-5 Elements'!$A$2:$I$53,9,FALSE)-$J25=-1,2,IF(VLOOKUP($A25,'TL0-5 Elements'!$A$2:$I$53,9,FALSE)-$J25=-2,4,IF(VLOOKUP($A25,'TL0-5 Elements'!$A$2:$I$53,9,FALSE)-$J25=-3,8,IF(VLOOKUP($A25,'TL0-5 Elements'!$A$2:$I$53,9,FALSE)-$J25=-4,16,"Invalid")))))</f>
        <v>1</v>
      </c>
      <c r="L25" s="10">
        <v>1</v>
      </c>
      <c r="M25" s="44">
        <v>1</v>
      </c>
      <c r="N25" s="2" t="s">
        <v>138</v>
      </c>
      <c r="O25" s="2">
        <f>VLOOKUP(N25,'Equipment &amp; Troop Q'!$A$3:$D$7,2,FALSE)</f>
        <v>0</v>
      </c>
      <c r="P25" s="2">
        <f>VLOOKUP($N25,'Equipment &amp; Troop Q'!$A$3:$D$7,3,FALSE)</f>
        <v>0</v>
      </c>
      <c r="Q25" s="2">
        <f>VLOOKUP($N25,'Equipment &amp; Troop Q'!$A$3:$D$7,4,FALSE)</f>
        <v>0</v>
      </c>
      <c r="R25" s="2" t="s">
        <v>141</v>
      </c>
      <c r="S25" s="2">
        <f>VLOOKUP($R25,'Equipment &amp; Troop Q'!$A$13:$D$16,2,FALSE)</f>
        <v>0</v>
      </c>
      <c r="T25" s="2">
        <f>IF(OR(V25="Fanatic",Z25="Fanatic",AD25="Fanatic",AH25="Fanatic"),VLOOKUP($R25,'Equipment &amp; Troop Q'!$A$18:$D$19,3,FALSE),VLOOKUP($R25,'Equipment &amp; Troop Q'!$A$13:$D$16,3,FALSE))</f>
        <v>0</v>
      </c>
      <c r="U25" s="2">
        <f>VLOOKUP($R25,'Equipment &amp; Troop Q'!$A$13:$D$16,4,FALSE)</f>
        <v>0</v>
      </c>
      <c r="V25" s="2" t="s">
        <v>101</v>
      </c>
      <c r="W25" s="2">
        <f>VLOOKUP($V25,'Equipment &amp; Troop Q'!$F$3:$I$30,2,FALSE)</f>
        <v>0</v>
      </c>
      <c r="X25" s="2">
        <f>VLOOKUP($V25,'Equipment &amp; Troop Q'!$F$3:$I$30,3,FALSE)</f>
        <v>0</v>
      </c>
      <c r="Y25" s="2">
        <f>VLOOKUP($V25,'Equipment &amp; Troop Q'!$F$3:$I$30,4,FALSE)</f>
        <v>0</v>
      </c>
      <c r="Z25" s="2" t="s">
        <v>101</v>
      </c>
      <c r="AA25" s="2">
        <f>VLOOKUP($Z25,'Equipment &amp; Troop Q'!$F$3:$I$30,2,FALSE)</f>
        <v>0</v>
      </c>
      <c r="AB25" s="2">
        <f>VLOOKUP($Z25,'Equipment &amp; Troop Q'!$F$3:$I$30,3,FALSE)</f>
        <v>0</v>
      </c>
      <c r="AC25" s="2">
        <f>VLOOKUP($Z25,'Equipment &amp; Troop Q'!$F$3:$I$30,4,FALSE)</f>
        <v>0</v>
      </c>
      <c r="AD25" s="2" t="s">
        <v>101</v>
      </c>
      <c r="AE25" s="2">
        <f>VLOOKUP($AD25,'Equipment &amp; Troop Q'!$F$3:$I$30,2,FALSE)</f>
        <v>0</v>
      </c>
      <c r="AF25" s="2">
        <f>VLOOKUP($AD25,'Equipment &amp; Troop Q'!$F$3:$I$30,3,FALSE)</f>
        <v>0</v>
      </c>
      <c r="AG25" s="2">
        <f>VLOOKUP($AD25,'Equipment &amp; Troop Q'!$F$3:$I$30,4,FALSE)</f>
        <v>0</v>
      </c>
      <c r="AH25" s="2" t="s">
        <v>101</v>
      </c>
      <c r="AI25" s="2">
        <f>VLOOKUP($AH25,'Equipment &amp; Troop Q'!$F$3:$I$30,2,FALSE)</f>
        <v>0</v>
      </c>
      <c r="AJ25" s="2">
        <f>VLOOKUP($AH25,'Equipment &amp; Troop Q'!$F$3:$I$30,3,FALSE)</f>
        <v>0</v>
      </c>
      <c r="AK25" s="2">
        <f>VLOOKUP($AH25,'Equipment &amp; Troop Q'!$F$3:$I$30,4,FALSE)</f>
        <v>0</v>
      </c>
    </row>
    <row r="26" spans="1:37" x14ac:dyDescent="0.2">
      <c r="A26" s="5" t="s">
        <v>101</v>
      </c>
      <c r="B26" s="43">
        <f>((((VLOOKUP($A26,'TL0-5 Elements'!$A$2:$I$53,2,FALSE))*K26)*L26)*(1+O26+S26+W26+AA26+AE26+AI26))*M26</f>
        <v>0</v>
      </c>
      <c r="C26" s="43" t="str">
        <f>VLOOKUP($A26,'TL0-5 Elements'!$A$2:$I$53,3,FALSE)</f>
        <v>-</v>
      </c>
      <c r="D26" s="43">
        <f t="shared" si="0"/>
        <v>0</v>
      </c>
      <c r="E26" s="43" t="str">
        <f>VLOOKUP($A26,'TL0-5 Elements'!$A$2:$I$53,4,FALSE)</f>
        <v>-</v>
      </c>
      <c r="F26" s="43" t="str">
        <f>VLOOKUP($A26,'TL0-5 Elements'!$A$2:$I$53,5,FALSE)</f>
        <v>-</v>
      </c>
      <c r="G26" s="43" t="str">
        <f>VLOOKUP($A26,'TL0-5 Elements'!$A$2:$I$53,6,FALSE)</f>
        <v>-</v>
      </c>
      <c r="H26" s="45">
        <f>(((VLOOKUP($A26,'TL0-5 Elements'!$A$2:$I$53,7,FALSE))*L26)*(1+P26+T26+X26+AB26+AF26+AJ26))*M26</f>
        <v>0</v>
      </c>
      <c r="I26" s="45">
        <f>(((VLOOKUP($A26,'TL0-5 Elements'!$A$2:$I$53,8,FALSE))*L26)*(1+Q26+U26+Y26+AC26+AG26+AK26))*M26</f>
        <v>0</v>
      </c>
      <c r="J26" s="43">
        <f>VLOOKUP(A26,'TL0-5 Elements'!$A$2:$I$53,9,FALSE)</f>
        <v>0</v>
      </c>
      <c r="K26" s="2">
        <f>IF(VLOOKUP($A26,'TL0-5 Elements'!$A$2:$I$53,9,FALSE)-$J26=0,1,IF(VLOOKUP($A26,'TL0-5 Elements'!$A$2:$I$53,9,FALSE)-$J26=-1,2,IF(VLOOKUP($A26,'TL0-5 Elements'!$A$2:$I$53,9,FALSE)-$J26=-2,4,IF(VLOOKUP($A26,'TL0-5 Elements'!$A$2:$I$53,9,FALSE)-$J26=-3,8,IF(VLOOKUP($A26,'TL0-5 Elements'!$A$2:$I$53,9,FALSE)-$J26=-4,16,"Invalid")))))</f>
        <v>1</v>
      </c>
      <c r="L26" s="10">
        <v>1</v>
      </c>
      <c r="M26" s="44">
        <v>1</v>
      </c>
      <c r="N26" s="2" t="s">
        <v>138</v>
      </c>
      <c r="O26" s="2">
        <f>VLOOKUP(N26,'Equipment &amp; Troop Q'!$A$3:$D$7,2,FALSE)</f>
        <v>0</v>
      </c>
      <c r="P26" s="2">
        <f>VLOOKUP($N26,'Equipment &amp; Troop Q'!$A$3:$D$7,3,FALSE)</f>
        <v>0</v>
      </c>
      <c r="Q26" s="2">
        <f>VLOOKUP($N26,'Equipment &amp; Troop Q'!$A$3:$D$7,4,FALSE)</f>
        <v>0</v>
      </c>
      <c r="R26" s="2" t="s">
        <v>141</v>
      </c>
      <c r="S26" s="2">
        <f>VLOOKUP($R26,'Equipment &amp; Troop Q'!$A$13:$D$16,2,FALSE)</f>
        <v>0</v>
      </c>
      <c r="T26" s="2">
        <f>IF(OR(V26="Fanatic",Z26="Fanatic",AD26="Fanatic",AH26="Fanatic"),VLOOKUP($R26,'Equipment &amp; Troop Q'!$A$18:$D$19,3,FALSE),VLOOKUP($R26,'Equipment &amp; Troop Q'!$A$13:$D$16,3,FALSE))</f>
        <v>0</v>
      </c>
      <c r="U26" s="2">
        <f>VLOOKUP($R26,'Equipment &amp; Troop Q'!$A$13:$D$16,4,FALSE)</f>
        <v>0</v>
      </c>
      <c r="V26" s="2" t="s">
        <v>101</v>
      </c>
      <c r="W26" s="2">
        <f>VLOOKUP($V26,'Equipment &amp; Troop Q'!$F$3:$I$30,2,FALSE)</f>
        <v>0</v>
      </c>
      <c r="X26" s="2">
        <f>VLOOKUP($V26,'Equipment &amp; Troop Q'!$F$3:$I$30,3,FALSE)</f>
        <v>0</v>
      </c>
      <c r="Y26" s="2">
        <f>VLOOKUP($V26,'Equipment &amp; Troop Q'!$F$3:$I$30,4,FALSE)</f>
        <v>0</v>
      </c>
      <c r="Z26" s="2" t="s">
        <v>101</v>
      </c>
      <c r="AA26" s="2">
        <f>VLOOKUP($Z26,'Equipment &amp; Troop Q'!$F$3:$I$30,2,FALSE)</f>
        <v>0</v>
      </c>
      <c r="AB26" s="2">
        <f>VLOOKUP($Z26,'Equipment &amp; Troop Q'!$F$3:$I$30,3,FALSE)</f>
        <v>0</v>
      </c>
      <c r="AC26" s="2">
        <f>VLOOKUP($Z26,'Equipment &amp; Troop Q'!$F$3:$I$30,4,FALSE)</f>
        <v>0</v>
      </c>
      <c r="AD26" s="2" t="s">
        <v>101</v>
      </c>
      <c r="AE26" s="2">
        <f>VLOOKUP($AD26,'Equipment &amp; Troop Q'!$F$3:$I$30,2,FALSE)</f>
        <v>0</v>
      </c>
      <c r="AF26" s="2">
        <f>VLOOKUP($AD26,'Equipment &amp; Troop Q'!$F$3:$I$30,3,FALSE)</f>
        <v>0</v>
      </c>
      <c r="AG26" s="2">
        <f>VLOOKUP($AD26,'Equipment &amp; Troop Q'!$F$3:$I$30,4,FALSE)</f>
        <v>0</v>
      </c>
      <c r="AH26" s="2" t="s">
        <v>101</v>
      </c>
      <c r="AI26" s="2">
        <f>VLOOKUP($AH26,'Equipment &amp; Troop Q'!$F$3:$I$30,2,FALSE)</f>
        <v>0</v>
      </c>
      <c r="AJ26" s="2">
        <f>VLOOKUP($AH26,'Equipment &amp; Troop Q'!$F$3:$I$30,3,FALSE)</f>
        <v>0</v>
      </c>
      <c r="AK26" s="2">
        <f>VLOOKUP($AH26,'Equipment &amp; Troop Q'!$F$3:$I$30,4,FALSE)</f>
        <v>0</v>
      </c>
    </row>
    <row r="27" spans="1:37" x14ac:dyDescent="0.2">
      <c r="A27" s="5" t="s">
        <v>101</v>
      </c>
      <c r="B27" s="43">
        <f>((((VLOOKUP($A27,'TL0-5 Elements'!$A$2:$I$53,2,FALSE))*K27)*L27)*(1+O27+S27+W27+AA27+AE27+AI27))*M27</f>
        <v>0</v>
      </c>
      <c r="C27" s="43" t="str">
        <f>VLOOKUP($A27,'TL0-5 Elements'!$A$2:$I$53,3,FALSE)</f>
        <v>-</v>
      </c>
      <c r="D27" s="43">
        <f t="shared" si="0"/>
        <v>0</v>
      </c>
      <c r="E27" s="43" t="str">
        <f>VLOOKUP($A27,'TL0-5 Elements'!$A$2:$I$53,4,FALSE)</f>
        <v>-</v>
      </c>
      <c r="F27" s="43" t="str">
        <f>VLOOKUP($A27,'TL0-5 Elements'!$A$2:$I$53,5,FALSE)</f>
        <v>-</v>
      </c>
      <c r="G27" s="43" t="str">
        <f>VLOOKUP($A27,'TL0-5 Elements'!$A$2:$I$53,6,FALSE)</f>
        <v>-</v>
      </c>
      <c r="H27" s="45">
        <f>(((VLOOKUP($A27,'TL0-5 Elements'!$A$2:$I$53,7,FALSE))*L27)*(1+P27+T27+X27+AB27+AF27+AJ27))*M27</f>
        <v>0</v>
      </c>
      <c r="I27" s="45">
        <f>(((VLOOKUP($A27,'TL0-5 Elements'!$A$2:$I$53,8,FALSE))*L27)*(1+Q27+U27+Y27+AC27+AG27+AK27))*M27</f>
        <v>0</v>
      </c>
      <c r="J27" s="43">
        <f>VLOOKUP(A27,'TL0-5 Elements'!$A$2:$I$53,9,FALSE)</f>
        <v>0</v>
      </c>
      <c r="K27" s="2">
        <f>IF(VLOOKUP($A27,'TL0-5 Elements'!$A$2:$I$53,9,FALSE)-$J27=0,1,IF(VLOOKUP($A27,'TL0-5 Elements'!$A$2:$I$53,9,FALSE)-$J27=-1,2,IF(VLOOKUP($A27,'TL0-5 Elements'!$A$2:$I$53,9,FALSE)-$J27=-2,4,IF(VLOOKUP($A27,'TL0-5 Elements'!$A$2:$I$53,9,FALSE)-$J27=-3,8,IF(VLOOKUP($A27,'TL0-5 Elements'!$A$2:$I$53,9,FALSE)-$J27=-4,16,"Invalid")))))</f>
        <v>1</v>
      </c>
      <c r="L27" s="10">
        <v>1</v>
      </c>
      <c r="M27" s="44">
        <v>1</v>
      </c>
      <c r="N27" s="2" t="s">
        <v>138</v>
      </c>
      <c r="O27" s="2">
        <f>VLOOKUP(N27,'Equipment &amp; Troop Q'!$A$3:$D$7,2,FALSE)</f>
        <v>0</v>
      </c>
      <c r="P27" s="2">
        <f>VLOOKUP($N27,'Equipment &amp; Troop Q'!$A$3:$D$7,3,FALSE)</f>
        <v>0</v>
      </c>
      <c r="Q27" s="2">
        <f>VLOOKUP($N27,'Equipment &amp; Troop Q'!$A$3:$D$7,4,FALSE)</f>
        <v>0</v>
      </c>
      <c r="R27" s="2" t="s">
        <v>141</v>
      </c>
      <c r="S27" s="2">
        <f>VLOOKUP($R27,'Equipment &amp; Troop Q'!$A$13:$D$16,2,FALSE)</f>
        <v>0</v>
      </c>
      <c r="T27" s="2">
        <f>IF(OR(V27="Fanatic",Z27="Fanatic",AD27="Fanatic",AH27="Fanatic"),VLOOKUP($R27,'Equipment &amp; Troop Q'!$A$18:$D$19,3,FALSE),VLOOKUP($R27,'Equipment &amp; Troop Q'!$A$13:$D$16,3,FALSE))</f>
        <v>0</v>
      </c>
      <c r="U27" s="2">
        <f>VLOOKUP($R27,'Equipment &amp; Troop Q'!$A$13:$D$16,4,FALSE)</f>
        <v>0</v>
      </c>
      <c r="V27" s="2" t="s">
        <v>101</v>
      </c>
      <c r="W27" s="2">
        <f>VLOOKUP($V27,'Equipment &amp; Troop Q'!$F$3:$I$30,2,FALSE)</f>
        <v>0</v>
      </c>
      <c r="X27" s="2">
        <f>VLOOKUP($V27,'Equipment &amp; Troop Q'!$F$3:$I$30,3,FALSE)</f>
        <v>0</v>
      </c>
      <c r="Y27" s="2">
        <f>VLOOKUP($V27,'Equipment &amp; Troop Q'!$F$3:$I$30,4,FALSE)</f>
        <v>0</v>
      </c>
      <c r="Z27" s="2" t="s">
        <v>101</v>
      </c>
      <c r="AA27" s="2">
        <f>VLOOKUP($Z27,'Equipment &amp; Troop Q'!$F$3:$I$30,2,FALSE)</f>
        <v>0</v>
      </c>
      <c r="AB27" s="2">
        <f>VLOOKUP($Z27,'Equipment &amp; Troop Q'!$F$3:$I$30,3,FALSE)</f>
        <v>0</v>
      </c>
      <c r="AC27" s="2">
        <f>VLOOKUP($Z27,'Equipment &amp; Troop Q'!$F$3:$I$30,4,FALSE)</f>
        <v>0</v>
      </c>
      <c r="AD27" s="2" t="s">
        <v>101</v>
      </c>
      <c r="AE27" s="2">
        <f>VLOOKUP($AD27,'Equipment &amp; Troop Q'!$F$3:$I$30,2,FALSE)</f>
        <v>0</v>
      </c>
      <c r="AF27" s="2">
        <f>VLOOKUP($AD27,'Equipment &amp; Troop Q'!$F$3:$I$30,3,FALSE)</f>
        <v>0</v>
      </c>
      <c r="AG27" s="2">
        <f>VLOOKUP($AD27,'Equipment &amp; Troop Q'!$F$3:$I$30,4,FALSE)</f>
        <v>0</v>
      </c>
      <c r="AH27" s="2" t="s">
        <v>101</v>
      </c>
      <c r="AI27" s="2">
        <f>VLOOKUP($AH27,'Equipment &amp; Troop Q'!$F$3:$I$30,2,FALSE)</f>
        <v>0</v>
      </c>
      <c r="AJ27" s="2">
        <f>VLOOKUP($AH27,'Equipment &amp; Troop Q'!$F$3:$I$30,3,FALSE)</f>
        <v>0</v>
      </c>
      <c r="AK27" s="2">
        <f>VLOOKUP($AH27,'Equipment &amp; Troop Q'!$F$3:$I$30,4,FALSE)</f>
        <v>0</v>
      </c>
    </row>
    <row r="28" spans="1:37" x14ac:dyDescent="0.2">
      <c r="A28" s="5" t="s">
        <v>101</v>
      </c>
      <c r="B28" s="43">
        <f>((((VLOOKUP($A28,'TL0-5 Elements'!$A$2:$I$53,2,FALSE))*K28)*L28)*(1+O28+S28+W28+AA28+AE28+AI28))*M28</f>
        <v>0</v>
      </c>
      <c r="C28" s="43" t="str">
        <f>VLOOKUP($A28,'TL0-5 Elements'!$A$2:$I$53,3,FALSE)</f>
        <v>-</v>
      </c>
      <c r="D28" s="43">
        <f t="shared" si="0"/>
        <v>0</v>
      </c>
      <c r="E28" s="43" t="str">
        <f>VLOOKUP($A28,'TL0-5 Elements'!$A$2:$I$53,4,FALSE)</f>
        <v>-</v>
      </c>
      <c r="F28" s="43" t="str">
        <f>VLOOKUP($A28,'TL0-5 Elements'!$A$2:$I$53,5,FALSE)</f>
        <v>-</v>
      </c>
      <c r="G28" s="43" t="str">
        <f>VLOOKUP($A28,'TL0-5 Elements'!$A$2:$I$53,6,FALSE)</f>
        <v>-</v>
      </c>
      <c r="H28" s="45">
        <f>(((VLOOKUP($A28,'TL0-5 Elements'!$A$2:$I$53,7,FALSE))*L28)*(1+P28+T28+X28+AB28+AF28+AJ28))*M28</f>
        <v>0</v>
      </c>
      <c r="I28" s="45">
        <f>(((VLOOKUP($A28,'TL0-5 Elements'!$A$2:$I$53,8,FALSE))*L28)*(1+Q28+U28+Y28+AC28+AG28+AK28))*M28</f>
        <v>0</v>
      </c>
      <c r="J28" s="43">
        <f>VLOOKUP(A28,'TL0-5 Elements'!$A$2:$I$53,9,FALSE)</f>
        <v>0</v>
      </c>
      <c r="K28" s="2">
        <f>IF(VLOOKUP($A28,'TL0-5 Elements'!$A$2:$I$53,9,FALSE)-$J28=0,1,IF(VLOOKUP($A28,'TL0-5 Elements'!$A$2:$I$53,9,FALSE)-$J28=-1,2,IF(VLOOKUP($A28,'TL0-5 Elements'!$A$2:$I$53,9,FALSE)-$J28=-2,4,IF(VLOOKUP($A28,'TL0-5 Elements'!$A$2:$I$53,9,FALSE)-$J28=-3,8,IF(VLOOKUP($A28,'TL0-5 Elements'!$A$2:$I$53,9,FALSE)-$J28=-4,16,"Invalid")))))</f>
        <v>1</v>
      </c>
      <c r="L28" s="10">
        <v>1</v>
      </c>
      <c r="M28" s="44">
        <v>1</v>
      </c>
      <c r="N28" s="2" t="s">
        <v>138</v>
      </c>
      <c r="O28" s="2">
        <f>VLOOKUP(N28,'Equipment &amp; Troop Q'!$A$3:$D$7,2,FALSE)</f>
        <v>0</v>
      </c>
      <c r="P28" s="2">
        <f>VLOOKUP($N28,'Equipment &amp; Troop Q'!$A$3:$D$7,3,FALSE)</f>
        <v>0</v>
      </c>
      <c r="Q28" s="2">
        <f>VLOOKUP($N28,'Equipment &amp; Troop Q'!$A$3:$D$7,4,FALSE)</f>
        <v>0</v>
      </c>
      <c r="R28" s="2" t="s">
        <v>141</v>
      </c>
      <c r="S28" s="2">
        <f>VLOOKUP($R28,'Equipment &amp; Troop Q'!$A$13:$D$16,2,FALSE)</f>
        <v>0</v>
      </c>
      <c r="T28" s="2">
        <f>IF(OR(V28="Fanatic",Z28="Fanatic",AD28="Fanatic",AH28="Fanatic"),VLOOKUP($R28,'Equipment &amp; Troop Q'!$A$18:$D$19,3,FALSE),VLOOKUP($R28,'Equipment &amp; Troop Q'!$A$13:$D$16,3,FALSE))</f>
        <v>0</v>
      </c>
      <c r="U28" s="2">
        <f>VLOOKUP($R28,'Equipment &amp; Troop Q'!$A$13:$D$16,4,FALSE)</f>
        <v>0</v>
      </c>
      <c r="V28" s="2" t="s">
        <v>101</v>
      </c>
      <c r="W28" s="2">
        <f>VLOOKUP($V28,'Equipment &amp; Troop Q'!$F$3:$I$30,2,FALSE)</f>
        <v>0</v>
      </c>
      <c r="X28" s="2">
        <f>VLOOKUP($V28,'Equipment &amp; Troop Q'!$F$3:$I$30,3,FALSE)</f>
        <v>0</v>
      </c>
      <c r="Y28" s="2">
        <f>VLOOKUP($V28,'Equipment &amp; Troop Q'!$F$3:$I$30,4,FALSE)</f>
        <v>0</v>
      </c>
      <c r="Z28" s="2" t="s">
        <v>101</v>
      </c>
      <c r="AA28" s="2">
        <f>VLOOKUP($Z28,'Equipment &amp; Troop Q'!$F$3:$I$30,2,FALSE)</f>
        <v>0</v>
      </c>
      <c r="AB28" s="2">
        <f>VLOOKUP($Z28,'Equipment &amp; Troop Q'!$F$3:$I$30,3,FALSE)</f>
        <v>0</v>
      </c>
      <c r="AC28" s="2">
        <f>VLOOKUP($Z28,'Equipment &amp; Troop Q'!$F$3:$I$30,4,FALSE)</f>
        <v>0</v>
      </c>
      <c r="AD28" s="2" t="s">
        <v>101</v>
      </c>
      <c r="AE28" s="2">
        <f>VLOOKUP($AD28,'Equipment &amp; Troop Q'!$F$3:$I$30,2,FALSE)</f>
        <v>0</v>
      </c>
      <c r="AF28" s="2">
        <f>VLOOKUP($AD28,'Equipment &amp; Troop Q'!$F$3:$I$30,3,FALSE)</f>
        <v>0</v>
      </c>
      <c r="AG28" s="2">
        <f>VLOOKUP($AD28,'Equipment &amp; Troop Q'!$F$3:$I$30,4,FALSE)</f>
        <v>0</v>
      </c>
      <c r="AH28" s="2" t="s">
        <v>101</v>
      </c>
      <c r="AI28" s="2">
        <f>VLOOKUP($AH28,'Equipment &amp; Troop Q'!$F$3:$I$30,2,FALSE)</f>
        <v>0</v>
      </c>
      <c r="AJ28" s="2">
        <f>VLOOKUP($AH28,'Equipment &amp; Troop Q'!$F$3:$I$30,3,FALSE)</f>
        <v>0</v>
      </c>
      <c r="AK28" s="2">
        <f>VLOOKUP($AH28,'Equipment &amp; Troop Q'!$F$3:$I$30,4,FALSE)</f>
        <v>0</v>
      </c>
    </row>
    <row r="29" spans="1:37" x14ac:dyDescent="0.2">
      <c r="A29" s="5" t="s">
        <v>101</v>
      </c>
      <c r="B29" s="43">
        <f>((((VLOOKUP($A29,'TL0-5 Elements'!$A$2:$I$53,2,FALSE))*K29)*L29)*(1+O29+S29+W29+AA29+AE29+AI29))*M29</f>
        <v>0</v>
      </c>
      <c r="C29" s="43" t="str">
        <f>VLOOKUP($A29,'TL0-5 Elements'!$A$2:$I$53,3,FALSE)</f>
        <v>-</v>
      </c>
      <c r="D29" s="43">
        <f t="shared" si="0"/>
        <v>0</v>
      </c>
      <c r="E29" s="43" t="str">
        <f>VLOOKUP($A29,'TL0-5 Elements'!$A$2:$I$53,4,FALSE)</f>
        <v>-</v>
      </c>
      <c r="F29" s="43" t="str">
        <f>VLOOKUP($A29,'TL0-5 Elements'!$A$2:$I$53,5,FALSE)</f>
        <v>-</v>
      </c>
      <c r="G29" s="43" t="str">
        <f>VLOOKUP($A29,'TL0-5 Elements'!$A$2:$I$53,6,FALSE)</f>
        <v>-</v>
      </c>
      <c r="H29" s="45">
        <f>(((VLOOKUP($A29,'TL0-5 Elements'!$A$2:$I$53,7,FALSE))*L29)*(1+P29+T29+X29+AB29+AF29+AJ29))*M29</f>
        <v>0</v>
      </c>
      <c r="I29" s="45">
        <f>(((VLOOKUP($A29,'TL0-5 Elements'!$A$2:$I$53,8,FALSE))*L29)*(1+Q29+U29+Y29+AC29+AG29+AK29))*M29</f>
        <v>0</v>
      </c>
      <c r="J29" s="43">
        <f>VLOOKUP(A29,'TL0-5 Elements'!$A$2:$I$53,9,FALSE)</f>
        <v>0</v>
      </c>
      <c r="K29" s="2">
        <f>IF(VLOOKUP($A29,'TL0-5 Elements'!$A$2:$I$53,9,FALSE)-$J29=0,1,IF(VLOOKUP($A29,'TL0-5 Elements'!$A$2:$I$53,9,FALSE)-$J29=-1,2,IF(VLOOKUP($A29,'TL0-5 Elements'!$A$2:$I$53,9,FALSE)-$J29=-2,4,IF(VLOOKUP($A29,'TL0-5 Elements'!$A$2:$I$53,9,FALSE)-$J29=-3,8,IF(VLOOKUP($A29,'TL0-5 Elements'!$A$2:$I$53,9,FALSE)-$J29=-4,16,"Invalid")))))</f>
        <v>1</v>
      </c>
      <c r="L29" s="10">
        <v>1</v>
      </c>
      <c r="M29" s="44">
        <v>1</v>
      </c>
      <c r="N29" s="2" t="s">
        <v>138</v>
      </c>
      <c r="O29" s="2">
        <f>VLOOKUP(N29,'Equipment &amp; Troop Q'!$A$3:$D$7,2,FALSE)</f>
        <v>0</v>
      </c>
      <c r="P29" s="2">
        <f>VLOOKUP($N29,'Equipment &amp; Troop Q'!$A$3:$D$7,3,FALSE)</f>
        <v>0</v>
      </c>
      <c r="Q29" s="2">
        <f>VLOOKUP($N29,'Equipment &amp; Troop Q'!$A$3:$D$7,4,FALSE)</f>
        <v>0</v>
      </c>
      <c r="R29" s="2" t="s">
        <v>141</v>
      </c>
      <c r="S29" s="2">
        <f>VLOOKUP($R29,'Equipment &amp; Troop Q'!$A$13:$D$16,2,FALSE)</f>
        <v>0</v>
      </c>
      <c r="T29" s="2">
        <f>IF(OR(V29="Fanatic",Z29="Fanatic",AD29="Fanatic",AH29="Fanatic"),VLOOKUP($R29,'Equipment &amp; Troop Q'!$A$18:$D$19,3,FALSE),VLOOKUP($R29,'Equipment &amp; Troop Q'!$A$13:$D$16,3,FALSE))</f>
        <v>0</v>
      </c>
      <c r="U29" s="2">
        <f>VLOOKUP($R29,'Equipment &amp; Troop Q'!$A$13:$D$16,4,FALSE)</f>
        <v>0</v>
      </c>
      <c r="V29" s="2" t="s">
        <v>101</v>
      </c>
      <c r="W29" s="2">
        <f>VLOOKUP($V29,'Equipment &amp; Troop Q'!$F$3:$I$30,2,FALSE)</f>
        <v>0</v>
      </c>
      <c r="X29" s="2">
        <f>VLOOKUP($V29,'Equipment &amp; Troop Q'!$F$3:$I$30,3,FALSE)</f>
        <v>0</v>
      </c>
      <c r="Y29" s="2">
        <f>VLOOKUP($V29,'Equipment &amp; Troop Q'!$F$3:$I$30,4,FALSE)</f>
        <v>0</v>
      </c>
      <c r="Z29" s="2" t="s">
        <v>101</v>
      </c>
      <c r="AA29" s="2">
        <f>VLOOKUP($Z29,'Equipment &amp; Troop Q'!$F$3:$I$30,2,FALSE)</f>
        <v>0</v>
      </c>
      <c r="AB29" s="2">
        <f>VLOOKUP($Z29,'Equipment &amp; Troop Q'!$F$3:$I$30,3,FALSE)</f>
        <v>0</v>
      </c>
      <c r="AC29" s="2">
        <f>VLOOKUP($Z29,'Equipment &amp; Troop Q'!$F$3:$I$30,4,FALSE)</f>
        <v>0</v>
      </c>
      <c r="AD29" s="2" t="s">
        <v>101</v>
      </c>
      <c r="AE29" s="2">
        <f>VLOOKUP($AD29,'Equipment &amp; Troop Q'!$F$3:$I$30,2,FALSE)</f>
        <v>0</v>
      </c>
      <c r="AF29" s="2">
        <f>VLOOKUP($AD29,'Equipment &amp; Troop Q'!$F$3:$I$30,3,FALSE)</f>
        <v>0</v>
      </c>
      <c r="AG29" s="2">
        <f>VLOOKUP($AD29,'Equipment &amp; Troop Q'!$F$3:$I$30,4,FALSE)</f>
        <v>0</v>
      </c>
      <c r="AH29" s="2" t="s">
        <v>101</v>
      </c>
      <c r="AI29" s="2">
        <f>VLOOKUP($AH29,'Equipment &amp; Troop Q'!$F$3:$I$30,2,FALSE)</f>
        <v>0</v>
      </c>
      <c r="AJ29" s="2">
        <f>VLOOKUP($AH29,'Equipment &amp; Troop Q'!$F$3:$I$30,3,FALSE)</f>
        <v>0</v>
      </c>
      <c r="AK29" s="2">
        <f>VLOOKUP($AH29,'Equipment &amp; Troop Q'!$F$3:$I$30,4,FALSE)</f>
        <v>0</v>
      </c>
    </row>
    <row r="30" spans="1:37" x14ac:dyDescent="0.2">
      <c r="A30" s="5" t="s">
        <v>101</v>
      </c>
      <c r="B30" s="43">
        <f>((((VLOOKUP($A30,'TL0-5 Elements'!$A$2:$I$53,2,FALSE))*K30)*L30)*(1+O30+S30+W30+AA30+AE30+AI30))*M30</f>
        <v>0</v>
      </c>
      <c r="C30" s="43" t="str">
        <f>VLOOKUP($A30,'TL0-5 Elements'!$A$2:$I$53,3,FALSE)</f>
        <v>-</v>
      </c>
      <c r="D30" s="43">
        <f t="shared" si="0"/>
        <v>0</v>
      </c>
      <c r="E30" s="43" t="str">
        <f>VLOOKUP($A30,'TL0-5 Elements'!$A$2:$I$53,4,FALSE)</f>
        <v>-</v>
      </c>
      <c r="F30" s="43" t="str">
        <f>VLOOKUP($A30,'TL0-5 Elements'!$A$2:$I$53,5,FALSE)</f>
        <v>-</v>
      </c>
      <c r="G30" s="43" t="str">
        <f>VLOOKUP($A30,'TL0-5 Elements'!$A$2:$I$53,6,FALSE)</f>
        <v>-</v>
      </c>
      <c r="H30" s="45">
        <f>(((VLOOKUP($A30,'TL0-5 Elements'!$A$2:$I$53,7,FALSE))*L30)*(1+P30+T30+X30+AB30+AF30+AJ30))*M30</f>
        <v>0</v>
      </c>
      <c r="I30" s="45">
        <f>(((VLOOKUP($A30,'TL0-5 Elements'!$A$2:$I$53,8,FALSE))*L30)*(1+Q30+U30+Y30+AC30+AG30+AK30))*M30</f>
        <v>0</v>
      </c>
      <c r="J30" s="43">
        <f>VLOOKUP(A30,'TL0-5 Elements'!$A$2:$I$53,9,FALSE)</f>
        <v>0</v>
      </c>
      <c r="K30" s="2">
        <f>IF(VLOOKUP($A30,'TL0-5 Elements'!$A$2:$I$53,9,FALSE)-$J30=0,1,IF(VLOOKUP($A30,'TL0-5 Elements'!$A$2:$I$53,9,FALSE)-$J30=-1,2,IF(VLOOKUP($A30,'TL0-5 Elements'!$A$2:$I$53,9,FALSE)-$J30=-2,4,IF(VLOOKUP($A30,'TL0-5 Elements'!$A$2:$I$53,9,FALSE)-$J30=-3,8,IF(VLOOKUP($A30,'TL0-5 Elements'!$A$2:$I$53,9,FALSE)-$J30=-4,16,"Invalid")))))</f>
        <v>1</v>
      </c>
      <c r="L30" s="10">
        <v>1</v>
      </c>
      <c r="M30" s="44">
        <v>1</v>
      </c>
      <c r="N30" s="2" t="s">
        <v>138</v>
      </c>
      <c r="O30" s="2">
        <f>VLOOKUP(N30,'Equipment &amp; Troop Q'!$A$3:$D$7,2,FALSE)</f>
        <v>0</v>
      </c>
      <c r="P30" s="2">
        <f>VLOOKUP($N30,'Equipment &amp; Troop Q'!$A$3:$D$7,3,FALSE)</f>
        <v>0</v>
      </c>
      <c r="Q30" s="2">
        <f>VLOOKUP($N30,'Equipment &amp; Troop Q'!$A$3:$D$7,4,FALSE)</f>
        <v>0</v>
      </c>
      <c r="R30" s="2" t="s">
        <v>141</v>
      </c>
      <c r="S30" s="2">
        <f>VLOOKUP($R30,'Equipment &amp; Troop Q'!$A$13:$D$16,2,FALSE)</f>
        <v>0</v>
      </c>
      <c r="T30" s="2">
        <f>IF(OR(V30="Fanatic",Z30="Fanatic",AD30="Fanatic",AH30="Fanatic"),VLOOKUP($R30,'Equipment &amp; Troop Q'!$A$18:$D$19,3,FALSE),VLOOKUP($R30,'Equipment &amp; Troop Q'!$A$13:$D$16,3,FALSE))</f>
        <v>0</v>
      </c>
      <c r="U30" s="2">
        <f>VLOOKUP($R30,'Equipment &amp; Troop Q'!$A$13:$D$16,4,FALSE)</f>
        <v>0</v>
      </c>
      <c r="V30" s="2" t="s">
        <v>101</v>
      </c>
      <c r="W30" s="2">
        <f>VLOOKUP($V30,'Equipment &amp; Troop Q'!$F$3:$I$30,2,FALSE)</f>
        <v>0</v>
      </c>
      <c r="X30" s="2">
        <f>VLOOKUP($V30,'Equipment &amp; Troop Q'!$F$3:$I$30,3,FALSE)</f>
        <v>0</v>
      </c>
      <c r="Y30" s="2">
        <f>VLOOKUP($V30,'Equipment &amp; Troop Q'!$F$3:$I$30,4,FALSE)</f>
        <v>0</v>
      </c>
      <c r="Z30" s="2" t="s">
        <v>101</v>
      </c>
      <c r="AA30" s="2">
        <f>VLOOKUP($Z30,'Equipment &amp; Troop Q'!$F$3:$I$30,2,FALSE)</f>
        <v>0</v>
      </c>
      <c r="AB30" s="2">
        <f>VLOOKUP($Z30,'Equipment &amp; Troop Q'!$F$3:$I$30,3,FALSE)</f>
        <v>0</v>
      </c>
      <c r="AC30" s="2">
        <f>VLOOKUP($Z30,'Equipment &amp; Troop Q'!$F$3:$I$30,4,FALSE)</f>
        <v>0</v>
      </c>
      <c r="AD30" s="2" t="s">
        <v>101</v>
      </c>
      <c r="AE30" s="2">
        <f>VLOOKUP($AD30,'Equipment &amp; Troop Q'!$F$3:$I$30,2,FALSE)</f>
        <v>0</v>
      </c>
      <c r="AF30" s="2">
        <f>VLOOKUP($AD30,'Equipment &amp; Troop Q'!$F$3:$I$30,3,FALSE)</f>
        <v>0</v>
      </c>
      <c r="AG30" s="2">
        <f>VLOOKUP($AD30,'Equipment &amp; Troop Q'!$F$3:$I$30,4,FALSE)</f>
        <v>0</v>
      </c>
      <c r="AH30" s="2" t="s">
        <v>101</v>
      </c>
      <c r="AI30" s="2">
        <f>VLOOKUP($AH30,'Equipment &amp; Troop Q'!$F$3:$I$30,2,FALSE)</f>
        <v>0</v>
      </c>
      <c r="AJ30" s="2">
        <f>VLOOKUP($AH30,'Equipment &amp; Troop Q'!$F$3:$I$30,3,FALSE)</f>
        <v>0</v>
      </c>
      <c r="AK30" s="2">
        <f>VLOOKUP($AH30,'Equipment &amp; Troop Q'!$F$3:$I$30,4,FALSE)</f>
        <v>0</v>
      </c>
    </row>
    <row r="31" spans="1:37" x14ac:dyDescent="0.2">
      <c r="A31" s="5" t="s">
        <v>101</v>
      </c>
      <c r="B31" s="43">
        <f>((((VLOOKUP($A31,'TL0-5 Elements'!$A$2:$I$53,2,FALSE))*K31)*L31)*(1+O31+S31+W31+AA31+AE31+AI31))*M31</f>
        <v>0</v>
      </c>
      <c r="C31" s="43" t="str">
        <f>VLOOKUP($A31,'TL0-5 Elements'!$A$2:$I$53,3,FALSE)</f>
        <v>-</v>
      </c>
      <c r="D31" s="43">
        <f t="shared" si="0"/>
        <v>0</v>
      </c>
      <c r="E31" s="43" t="str">
        <f>VLOOKUP($A31,'TL0-5 Elements'!$A$2:$I$53,4,FALSE)</f>
        <v>-</v>
      </c>
      <c r="F31" s="43" t="str">
        <f>VLOOKUP($A31,'TL0-5 Elements'!$A$2:$I$53,5,FALSE)</f>
        <v>-</v>
      </c>
      <c r="G31" s="43" t="str">
        <f>VLOOKUP($A31,'TL0-5 Elements'!$A$2:$I$53,6,FALSE)</f>
        <v>-</v>
      </c>
      <c r="H31" s="45">
        <f>(((VLOOKUP($A31,'TL0-5 Elements'!$A$2:$I$53,7,FALSE))*L31)*(1+P31+T31+X31+AB31+AF31+AJ31))*M31</f>
        <v>0</v>
      </c>
      <c r="I31" s="45">
        <f>(((VLOOKUP($A31,'TL0-5 Elements'!$A$2:$I$53,8,FALSE))*L31)*(1+Q31+U31+Y31+AC31+AG31+AK31))*M31</f>
        <v>0</v>
      </c>
      <c r="J31" s="43">
        <f>VLOOKUP(A31,'TL0-5 Elements'!$A$2:$I$53,9,FALSE)</f>
        <v>0</v>
      </c>
      <c r="K31" s="2">
        <f>IF(VLOOKUP($A31,'TL0-5 Elements'!$A$2:$I$53,9,FALSE)-$J31=0,1,IF(VLOOKUP($A31,'TL0-5 Elements'!$A$2:$I$53,9,FALSE)-$J31=-1,2,IF(VLOOKUP($A31,'TL0-5 Elements'!$A$2:$I$53,9,FALSE)-$J31=-2,4,IF(VLOOKUP($A31,'TL0-5 Elements'!$A$2:$I$53,9,FALSE)-$J31=-3,8,IF(VLOOKUP($A31,'TL0-5 Elements'!$A$2:$I$53,9,FALSE)-$J31=-4,16,"Invalid")))))</f>
        <v>1</v>
      </c>
      <c r="L31" s="10">
        <v>1</v>
      </c>
      <c r="M31" s="44">
        <v>1</v>
      </c>
      <c r="N31" s="2" t="s">
        <v>138</v>
      </c>
      <c r="O31" s="2">
        <f>VLOOKUP(N31,'Equipment &amp; Troop Q'!$A$3:$D$7,2,FALSE)</f>
        <v>0</v>
      </c>
      <c r="P31" s="2">
        <f>VLOOKUP($N31,'Equipment &amp; Troop Q'!$A$3:$D$7,3,FALSE)</f>
        <v>0</v>
      </c>
      <c r="Q31" s="2">
        <f>VLOOKUP($N31,'Equipment &amp; Troop Q'!$A$3:$D$7,4,FALSE)</f>
        <v>0</v>
      </c>
      <c r="R31" s="2" t="s">
        <v>141</v>
      </c>
      <c r="S31" s="2">
        <f>VLOOKUP($R31,'Equipment &amp; Troop Q'!$A$13:$D$16,2,FALSE)</f>
        <v>0</v>
      </c>
      <c r="T31" s="2">
        <f>IF(OR(V31="Fanatic",Z31="Fanatic",AD31="Fanatic",AH31="Fanatic"),VLOOKUP($R31,'Equipment &amp; Troop Q'!$A$18:$D$19,3,FALSE),VLOOKUP($R31,'Equipment &amp; Troop Q'!$A$13:$D$16,3,FALSE))</f>
        <v>0</v>
      </c>
      <c r="U31" s="2">
        <f>VLOOKUP($R31,'Equipment &amp; Troop Q'!$A$13:$D$16,4,FALSE)</f>
        <v>0</v>
      </c>
      <c r="V31" s="2" t="s">
        <v>101</v>
      </c>
      <c r="W31" s="2">
        <f>VLOOKUP($V31,'Equipment &amp; Troop Q'!$F$3:$I$30,2,FALSE)</f>
        <v>0</v>
      </c>
      <c r="X31" s="2">
        <f>VLOOKUP($V31,'Equipment &amp; Troop Q'!$F$3:$I$30,3,FALSE)</f>
        <v>0</v>
      </c>
      <c r="Y31" s="2">
        <f>VLOOKUP($V31,'Equipment &amp; Troop Q'!$F$3:$I$30,4,FALSE)</f>
        <v>0</v>
      </c>
      <c r="Z31" s="2" t="s">
        <v>101</v>
      </c>
      <c r="AA31" s="2">
        <f>VLOOKUP($Z31,'Equipment &amp; Troop Q'!$F$3:$I$30,2,FALSE)</f>
        <v>0</v>
      </c>
      <c r="AB31" s="2">
        <f>VLOOKUP($Z31,'Equipment &amp; Troop Q'!$F$3:$I$30,3,FALSE)</f>
        <v>0</v>
      </c>
      <c r="AC31" s="2">
        <f>VLOOKUP($Z31,'Equipment &amp; Troop Q'!$F$3:$I$30,4,FALSE)</f>
        <v>0</v>
      </c>
      <c r="AD31" s="2" t="s">
        <v>101</v>
      </c>
      <c r="AE31" s="2">
        <f>VLOOKUP($AD31,'Equipment &amp; Troop Q'!$F$3:$I$30,2,FALSE)</f>
        <v>0</v>
      </c>
      <c r="AF31" s="2">
        <f>VLOOKUP($AD31,'Equipment &amp; Troop Q'!$F$3:$I$30,3,FALSE)</f>
        <v>0</v>
      </c>
      <c r="AG31" s="2">
        <f>VLOOKUP($AD31,'Equipment &amp; Troop Q'!$F$3:$I$30,4,FALSE)</f>
        <v>0</v>
      </c>
      <c r="AH31" s="2" t="s">
        <v>101</v>
      </c>
      <c r="AI31" s="2">
        <f>VLOOKUP($AH31,'Equipment &amp; Troop Q'!$F$3:$I$30,2,FALSE)</f>
        <v>0</v>
      </c>
      <c r="AJ31" s="2">
        <f>VLOOKUP($AH31,'Equipment &amp; Troop Q'!$F$3:$I$30,3,FALSE)</f>
        <v>0</v>
      </c>
      <c r="AK31" s="2">
        <f>VLOOKUP($AH31,'Equipment &amp; Troop Q'!$F$3:$I$30,4,FALSE)</f>
        <v>0</v>
      </c>
    </row>
    <row r="34" spans="1:9" x14ac:dyDescent="0.2">
      <c r="A34" s="3" t="s">
        <v>144</v>
      </c>
      <c r="B34" s="16">
        <f>SUM(H3:H31)</f>
        <v>0</v>
      </c>
      <c r="C34" s="16"/>
      <c r="D34" s="16"/>
      <c r="H34" s="40" t="s">
        <v>357</v>
      </c>
      <c r="I34" s="41">
        <f>B35/1000</f>
        <v>0</v>
      </c>
    </row>
    <row r="35" spans="1:9" x14ac:dyDescent="0.2">
      <c r="A35" s="3" t="s">
        <v>145</v>
      </c>
      <c r="B35" s="16">
        <f>SUM(I3:I31)</f>
        <v>0</v>
      </c>
      <c r="C35" s="16"/>
      <c r="D35" s="16"/>
      <c r="H35" s="40" t="s">
        <v>358</v>
      </c>
      <c r="I35" s="16">
        <f>I34*5000</f>
        <v>0</v>
      </c>
    </row>
    <row r="36" spans="1:9" x14ac:dyDescent="0.2">
      <c r="A36" s="3" t="s">
        <v>146</v>
      </c>
      <c r="B36" s="39">
        <f>(SUMIF(C3:C31,0,B3:B31)+(SUMIF(C3:C31,1,B3:B31)*0.1))+SUM(D3:D31)</f>
        <v>0</v>
      </c>
      <c r="H36" s="40" t="s">
        <v>359</v>
      </c>
      <c r="I36" s="16">
        <f>I35*0.1</f>
        <v>0</v>
      </c>
    </row>
    <row r="37" spans="1:9" x14ac:dyDescent="0.2">
      <c r="A37" s="3" t="s">
        <v>147</v>
      </c>
      <c r="B37" s="39">
        <f ca="1">(SUMIF(E3:E31,"*F*",B3:B31)+SUMIF(V3:AH31,"*F*",B3:B31))-F37</f>
        <v>0</v>
      </c>
      <c r="E37" s="1" t="s">
        <v>364</v>
      </c>
      <c r="F37" s="39">
        <f ca="1">SUMIF($E$3:$E$31,"*(F)*",$B$3:$B$31)+SUMIF($V$3:$AH$31,"*(F)*",$B$3:$B$31)</f>
        <v>0</v>
      </c>
    </row>
    <row r="38" spans="1:9" x14ac:dyDescent="0.2">
      <c r="A38" s="3" t="s">
        <v>148</v>
      </c>
      <c r="B38" s="39">
        <f ca="1">(SUMIF(E3:E31,"*Cv*",B3:B31)+SUMIF(V3:AH31,"*Cv*",B3:B31))-F38</f>
        <v>0</v>
      </c>
      <c r="E38" s="1" t="s">
        <v>365</v>
      </c>
      <c r="F38" s="39">
        <f ca="1">SUMIF($E$3:$E$31,"*(Cv)*",$B$3:$B$31)+SUMIF($V$3:$AH$31,"*(Cv)*",$B$3:$B$31)</f>
        <v>0</v>
      </c>
    </row>
    <row r="39" spans="1:9" x14ac:dyDescent="0.2">
      <c r="A39" s="3" t="s">
        <v>149</v>
      </c>
      <c r="B39" s="39">
        <f ca="1">(SUMIF(E3:E31,"*Arm*",B3:B31)+SUMIF(V3:AH31,"*Arm*",B3:B31))-F39</f>
        <v>0</v>
      </c>
      <c r="E39" s="1" t="s">
        <v>366</v>
      </c>
      <c r="F39" s="39">
        <f ca="1">SUMIF($E$3:$E$31,"*(Arm)*",$B$3:$B$31)+SUMIF($V$3:$AH$31,"*(Arm)*",$B$3:$B$31)</f>
        <v>0</v>
      </c>
    </row>
    <row r="40" spans="1:9" x14ac:dyDescent="0.2">
      <c r="A40" s="3" t="s">
        <v>150</v>
      </c>
      <c r="B40" s="39">
        <f ca="1">(SUMIF(E3:E31,"*Air*",B3:B31)+SUMIF(V3:AH31,"*Air*",B3:B31))-F40</f>
        <v>0</v>
      </c>
      <c r="E40" s="1" t="s">
        <v>62</v>
      </c>
      <c r="F40" s="39">
        <f ca="1">SUMIF($E$3:$E$31,"*(Air)*",$B$3:$B$31)+SUMIF($V$3:$AH$31,"*(Air)*",$B$3:$B$31)</f>
        <v>0</v>
      </c>
      <c r="H40" s="40" t="s">
        <v>360</v>
      </c>
      <c r="I40" s="16">
        <f>I35+B34</f>
        <v>0</v>
      </c>
    </row>
    <row r="41" spans="1:9" x14ac:dyDescent="0.2">
      <c r="A41" s="3" t="s">
        <v>151</v>
      </c>
      <c r="B41" s="39">
        <f ca="1">(SUMIF(E3:E31,"*Art*",B3:B31)+SUMIF(V3:AH31,"*Art*",B3:B31))-F41</f>
        <v>0</v>
      </c>
      <c r="E41" s="1" t="s">
        <v>367</v>
      </c>
      <c r="F41" s="39">
        <f ca="1">SUMIF($E$3:$E$31,"*(Art)*",$B$3:$B$31)+SUMIF($V$3:$AH$31,"*(Art)*",$B$3:$B$31)</f>
        <v>0</v>
      </c>
      <c r="H41" s="40" t="s">
        <v>361</v>
      </c>
      <c r="I41" s="16">
        <f>I36+B35</f>
        <v>0</v>
      </c>
    </row>
    <row r="42" spans="1:9" x14ac:dyDescent="0.2">
      <c r="A42" s="3" t="s">
        <v>152</v>
      </c>
      <c r="B42" s="39">
        <f ca="1">(SUMIF(E3:E31,"*Nav*",B3:B31)+SUMIF(V3:AH31,"*Nav*",B3:B31))-F42</f>
        <v>0</v>
      </c>
      <c r="E42" s="1" t="s">
        <v>368</v>
      </c>
      <c r="F42" s="39">
        <f ca="1">SUMIF($E$3:$E$31,"*(Nav)*",$B$3:$B$31)+SUMIF($V$3:$AH$31,"*(Nav)*",$B$3:$B$31)</f>
        <v>0</v>
      </c>
    </row>
    <row r="43" spans="1:9" x14ac:dyDescent="0.2">
      <c r="A43" s="3" t="s">
        <v>153</v>
      </c>
      <c r="B43" s="39">
        <f ca="1">(SUMIF(E3:E31,"*Eng*",B3:B31)+SUMIF(V3:AH31,"*Eng*",B3:B31))-F43</f>
        <v>0</v>
      </c>
      <c r="E43" s="1" t="s">
        <v>369</v>
      </c>
      <c r="F43" s="39">
        <f ca="1">SUMIF($E$3:$E$31,"*(Eng)*",$B$3:$B$31)+SUMIF($V$3:$AH$31,"*(Eng)*",$B$3:$B$31)</f>
        <v>0</v>
      </c>
    </row>
    <row r="44" spans="1:9" x14ac:dyDescent="0.2">
      <c r="A44" s="3" t="s">
        <v>154</v>
      </c>
      <c r="B44" s="39">
        <f ca="1">(SUMIF($E$3:$E$31,"*C3I*",$B$3:$B$31)+SUMIF($V$3:$AH$31,"*C3I*",$B$3:$B$31))-F44</f>
        <v>0</v>
      </c>
      <c r="E44" s="1" t="s">
        <v>370</v>
      </c>
      <c r="F44" s="39">
        <f ca="1">SUMIF($E$3:$E$31,"*(C3I)*",$B$3:$B$31)+SUMIF($V$3:$AH$31,"*(C3I)*",$B$3:$B$31)</f>
        <v>0</v>
      </c>
    </row>
    <row r="45" spans="1:9" x14ac:dyDescent="0.2">
      <c r="A45" s="3" t="s">
        <v>166</v>
      </c>
      <c r="B45" s="39">
        <f>SUMIF($E$3:$E$31,"*Rec*",$B$3:$B$31)</f>
        <v>0</v>
      </c>
    </row>
    <row r="71" spans="1:17" x14ac:dyDescent="0.2">
      <c r="A71" s="6"/>
      <c r="B71" s="9"/>
      <c r="C71" s="9"/>
      <c r="D71" s="9"/>
      <c r="E71" s="7"/>
      <c r="F71" s="7"/>
      <c r="G71" s="7"/>
      <c r="H71" s="17"/>
      <c r="I71" s="17"/>
      <c r="J71" s="7"/>
      <c r="K71" s="7"/>
      <c r="N71" s="13"/>
      <c r="O71" s="13"/>
      <c r="P71" s="13"/>
      <c r="Q71" s="13"/>
    </row>
    <row r="72" spans="1:17" x14ac:dyDescent="0.2">
      <c r="B72" s="4"/>
      <c r="C72" s="4"/>
      <c r="D72" s="4"/>
      <c r="H72" s="18"/>
      <c r="I72" s="19"/>
      <c r="J72" s="4"/>
      <c r="N72" s="13"/>
      <c r="O72" s="13"/>
      <c r="P72" s="13"/>
      <c r="Q72" s="13"/>
    </row>
    <row r="73" spans="1:17" x14ac:dyDescent="0.2">
      <c r="B73" s="4"/>
      <c r="C73" s="4"/>
      <c r="D73" s="4"/>
      <c r="H73" s="18"/>
      <c r="I73" s="19"/>
      <c r="J73" s="4"/>
      <c r="N73" s="12"/>
      <c r="O73"/>
      <c r="P73"/>
      <c r="Q73"/>
    </row>
    <row r="74" spans="1:17" hidden="1" x14ac:dyDescent="0.2">
      <c r="A74" s="5" t="s">
        <v>356</v>
      </c>
      <c r="B74" s="4"/>
      <c r="C74" s="4"/>
      <c r="D74" s="4"/>
      <c r="H74" s="18"/>
      <c r="I74" s="19"/>
      <c r="J74" s="4"/>
      <c r="N74" s="12"/>
      <c r="O74"/>
      <c r="P74"/>
      <c r="Q74"/>
    </row>
    <row r="75" spans="1:17" hidden="1" x14ac:dyDescent="0.2">
      <c r="A75" s="5" t="s">
        <v>101</v>
      </c>
      <c r="B75" s="4" t="s">
        <v>8</v>
      </c>
      <c r="C75" s="4"/>
      <c r="D75" s="4"/>
      <c r="E75" s="2" t="s">
        <v>167</v>
      </c>
      <c r="H75" s="18"/>
      <c r="I75" s="19"/>
      <c r="J75" s="4"/>
      <c r="N75" s="12"/>
      <c r="O75"/>
      <c r="P75"/>
      <c r="Q75"/>
    </row>
    <row r="76" spans="1:17" hidden="1" x14ac:dyDescent="0.2">
      <c r="A76" s="5" t="s">
        <v>210</v>
      </c>
      <c r="B76" s="4" t="s">
        <v>132</v>
      </c>
      <c r="C76" s="4"/>
      <c r="D76" s="4"/>
      <c r="E76" s="2" t="s">
        <v>132</v>
      </c>
      <c r="H76" s="18"/>
      <c r="I76" s="19"/>
      <c r="J76" s="4"/>
      <c r="N76" s="12"/>
      <c r="O76"/>
      <c r="P76"/>
      <c r="Q76"/>
    </row>
    <row r="77" spans="1:17" hidden="1" x14ac:dyDescent="0.2">
      <c r="A77" s="5" t="s">
        <v>211</v>
      </c>
      <c r="B77" s="4" t="s">
        <v>135</v>
      </c>
      <c r="C77" s="4"/>
      <c r="D77" s="4"/>
      <c r="E77" s="2" t="s">
        <v>168</v>
      </c>
      <c r="H77" s="18"/>
      <c r="I77" s="19"/>
      <c r="J77" s="4"/>
      <c r="N77" s="12"/>
      <c r="O77"/>
      <c r="P77"/>
      <c r="Q77"/>
    </row>
    <row r="78" spans="1:17" hidden="1" x14ac:dyDescent="0.2">
      <c r="A78" s="5" t="s">
        <v>212</v>
      </c>
      <c r="B78" s="4" t="s">
        <v>136</v>
      </c>
      <c r="C78" s="4"/>
      <c r="D78" s="4"/>
      <c r="E78" s="2" t="s">
        <v>169</v>
      </c>
      <c r="H78" s="18"/>
      <c r="I78" s="19"/>
      <c r="J78" s="4"/>
      <c r="N78"/>
      <c r="O78"/>
      <c r="P78"/>
      <c r="Q78"/>
    </row>
    <row r="79" spans="1:17" hidden="1" x14ac:dyDescent="0.2">
      <c r="A79" s="5" t="s">
        <v>41</v>
      </c>
      <c r="B79" s="4" t="s">
        <v>137</v>
      </c>
      <c r="C79" s="4"/>
      <c r="D79" s="4"/>
      <c r="E79" s="2" t="s">
        <v>170</v>
      </c>
      <c r="H79" s="18"/>
      <c r="I79" s="19"/>
      <c r="J79" s="4"/>
      <c r="N79"/>
      <c r="O79"/>
      <c r="P79"/>
      <c r="Q79"/>
    </row>
    <row r="80" spans="1:17" hidden="1" x14ac:dyDescent="0.2">
      <c r="A80" s="5" t="s">
        <v>45</v>
      </c>
      <c r="B80" s="4" t="s">
        <v>138</v>
      </c>
      <c r="C80" s="4"/>
      <c r="D80" s="4"/>
      <c r="E80" s="2" t="s">
        <v>171</v>
      </c>
      <c r="H80" s="18"/>
      <c r="I80" s="19"/>
      <c r="J80" s="4"/>
      <c r="N80"/>
      <c r="O80"/>
      <c r="P80"/>
      <c r="Q80"/>
    </row>
    <row r="81" spans="1:17" hidden="1" x14ac:dyDescent="0.2">
      <c r="A81" s="5" t="s">
        <v>214</v>
      </c>
      <c r="B81" s="4" t="s">
        <v>139</v>
      </c>
      <c r="C81" s="4"/>
      <c r="D81" s="4"/>
      <c r="E81" s="2" t="s">
        <v>172</v>
      </c>
      <c r="H81" s="18"/>
      <c r="I81" s="19"/>
      <c r="J81" s="4"/>
      <c r="N81" s="13"/>
      <c r="O81"/>
      <c r="P81"/>
      <c r="Q81"/>
    </row>
    <row r="82" spans="1:17" hidden="1" x14ac:dyDescent="0.2">
      <c r="A82" s="5" t="s">
        <v>216</v>
      </c>
      <c r="B82" s="4"/>
      <c r="C82" s="4"/>
      <c r="D82" s="4"/>
      <c r="E82" s="2" t="s">
        <v>173</v>
      </c>
      <c r="H82" s="18"/>
      <c r="I82" s="19"/>
      <c r="J82" s="4"/>
      <c r="N82" s="13"/>
      <c r="O82" s="13"/>
      <c r="P82" s="13"/>
      <c r="Q82" s="13"/>
    </row>
    <row r="83" spans="1:17" hidden="1" x14ac:dyDescent="0.2">
      <c r="A83" s="5" t="s">
        <v>217</v>
      </c>
      <c r="B83" s="4"/>
      <c r="C83" s="4"/>
      <c r="D83" s="4"/>
      <c r="E83" s="2" t="s">
        <v>174</v>
      </c>
      <c r="H83" s="18"/>
      <c r="I83" s="19"/>
      <c r="J83" s="4"/>
      <c r="N83" s="12"/>
      <c r="O83"/>
      <c r="P83"/>
      <c r="Q83"/>
    </row>
    <row r="84" spans="1:17" hidden="1" x14ac:dyDescent="0.2">
      <c r="A84" s="5" t="s">
        <v>218</v>
      </c>
      <c r="B84" s="4"/>
      <c r="C84" s="4"/>
      <c r="D84" s="4"/>
      <c r="E84" s="2" t="s">
        <v>175</v>
      </c>
      <c r="H84" s="18"/>
      <c r="I84" s="19"/>
      <c r="J84" s="4"/>
      <c r="N84" s="12"/>
      <c r="O84"/>
      <c r="P84"/>
      <c r="Q84"/>
    </row>
    <row r="85" spans="1:17" hidden="1" x14ac:dyDescent="0.2">
      <c r="A85" s="5" t="s">
        <v>219</v>
      </c>
      <c r="B85" s="4" t="s">
        <v>9</v>
      </c>
      <c r="C85" s="4"/>
      <c r="D85" s="4"/>
      <c r="E85" s="2" t="s">
        <v>176</v>
      </c>
      <c r="H85" s="18"/>
      <c r="I85" s="19"/>
      <c r="J85" s="4"/>
      <c r="N85" s="12"/>
      <c r="O85"/>
      <c r="P85"/>
      <c r="Q85"/>
    </row>
    <row r="86" spans="1:17" hidden="1" x14ac:dyDescent="0.2">
      <c r="A86" s="5" t="s">
        <v>57</v>
      </c>
      <c r="B86" s="4" t="s">
        <v>132</v>
      </c>
      <c r="C86" s="4"/>
      <c r="D86" s="4"/>
      <c r="E86" s="2" t="s">
        <v>177</v>
      </c>
      <c r="H86" s="18"/>
      <c r="I86" s="19"/>
      <c r="J86" s="4"/>
      <c r="N86" s="12"/>
      <c r="O86"/>
      <c r="P86"/>
      <c r="Q86"/>
    </row>
    <row r="87" spans="1:17" hidden="1" x14ac:dyDescent="0.2">
      <c r="A87" s="5" t="s">
        <v>220</v>
      </c>
      <c r="B87" s="4" t="s">
        <v>140</v>
      </c>
      <c r="C87" s="4"/>
      <c r="D87" s="4"/>
      <c r="E87" s="2" t="s">
        <v>178</v>
      </c>
      <c r="H87" s="18"/>
      <c r="I87" s="19"/>
      <c r="J87" s="4"/>
      <c r="N87"/>
      <c r="O87"/>
      <c r="P87"/>
      <c r="Q87"/>
    </row>
    <row r="88" spans="1:17" hidden="1" x14ac:dyDescent="0.2">
      <c r="A88" s="5" t="s">
        <v>222</v>
      </c>
      <c r="B88" s="4" t="s">
        <v>137</v>
      </c>
      <c r="C88" s="4"/>
      <c r="D88" s="4"/>
      <c r="E88" s="2" t="s">
        <v>24</v>
      </c>
      <c r="H88" s="18"/>
      <c r="I88" s="19"/>
      <c r="J88" s="4"/>
      <c r="N88"/>
      <c r="O88"/>
      <c r="P88"/>
      <c r="Q88"/>
    </row>
    <row r="89" spans="1:17" hidden="1" x14ac:dyDescent="0.2">
      <c r="A89" s="5" t="s">
        <v>223</v>
      </c>
      <c r="B89" s="4" t="s">
        <v>141</v>
      </c>
      <c r="C89" s="4"/>
      <c r="D89" s="4"/>
      <c r="E89" s="2" t="s">
        <v>179</v>
      </c>
      <c r="H89" s="18"/>
      <c r="I89" s="19"/>
      <c r="J89" s="4"/>
      <c r="N89" s="13"/>
      <c r="O89"/>
      <c r="P89"/>
      <c r="Q89"/>
    </row>
    <row r="90" spans="1:17" hidden="1" x14ac:dyDescent="0.2">
      <c r="A90" s="5" t="s">
        <v>319</v>
      </c>
      <c r="B90" s="4" t="s">
        <v>142</v>
      </c>
      <c r="C90" s="4"/>
      <c r="D90" s="4"/>
      <c r="E90" s="2" t="s">
        <v>180</v>
      </c>
      <c r="H90" s="18"/>
      <c r="I90" s="19"/>
      <c r="J90" s="4"/>
      <c r="N90"/>
      <c r="O90"/>
      <c r="P90"/>
      <c r="Q90"/>
    </row>
    <row r="91" spans="1:17" hidden="1" x14ac:dyDescent="0.2">
      <c r="A91" s="5" t="s">
        <v>225</v>
      </c>
      <c r="B91" s="4"/>
      <c r="C91" s="4"/>
      <c r="D91" s="4"/>
      <c r="E91" s="2" t="s">
        <v>89</v>
      </c>
      <c r="H91" s="18"/>
      <c r="I91" s="19"/>
      <c r="J91" s="4"/>
      <c r="N91"/>
      <c r="O91"/>
      <c r="P91"/>
      <c r="Q91"/>
    </row>
    <row r="92" spans="1:17" hidden="1" x14ac:dyDescent="0.2">
      <c r="A92" s="5" t="s">
        <v>226</v>
      </c>
      <c r="B92" s="4"/>
      <c r="C92" s="4"/>
      <c r="D92" s="4"/>
      <c r="E92" s="2" t="s">
        <v>181</v>
      </c>
      <c r="H92" s="18"/>
      <c r="I92" s="19"/>
      <c r="J92" s="4"/>
      <c r="N92"/>
      <c r="O92"/>
      <c r="P92"/>
      <c r="Q92"/>
    </row>
    <row r="93" spans="1:17" hidden="1" x14ac:dyDescent="0.2">
      <c r="A93" s="5" t="s">
        <v>227</v>
      </c>
      <c r="B93" s="4" t="s">
        <v>143</v>
      </c>
      <c r="C93" s="4"/>
      <c r="D93" s="4"/>
      <c r="E93" s="2" t="s">
        <v>182</v>
      </c>
      <c r="H93" s="18"/>
      <c r="I93" s="19"/>
      <c r="J93" s="4"/>
      <c r="N93"/>
      <c r="O93"/>
      <c r="P93"/>
      <c r="Q93"/>
    </row>
    <row r="94" spans="1:17" hidden="1" x14ac:dyDescent="0.2">
      <c r="A94" s="5" t="s">
        <v>229</v>
      </c>
      <c r="B94" s="4">
        <v>6</v>
      </c>
      <c r="C94" s="4"/>
      <c r="D94" s="4"/>
      <c r="E94" s="2" t="s">
        <v>183</v>
      </c>
      <c r="H94" s="18"/>
      <c r="I94" s="19"/>
      <c r="J94" s="4"/>
      <c r="N94"/>
      <c r="O94"/>
      <c r="P94"/>
      <c r="Q94"/>
    </row>
    <row r="95" spans="1:17" hidden="1" x14ac:dyDescent="0.2">
      <c r="A95" s="5" t="s">
        <v>231</v>
      </c>
      <c r="B95" s="4">
        <v>7</v>
      </c>
      <c r="C95" s="4"/>
      <c r="D95" s="4"/>
      <c r="E95" s="2" t="s">
        <v>184</v>
      </c>
      <c r="H95" s="18"/>
      <c r="I95" s="19"/>
      <c r="J95" s="4"/>
    </row>
    <row r="96" spans="1:17" hidden="1" x14ac:dyDescent="0.2">
      <c r="A96" s="5" t="s">
        <v>232</v>
      </c>
      <c r="B96" s="4">
        <v>8</v>
      </c>
      <c r="C96" s="4"/>
      <c r="D96" s="4"/>
      <c r="E96" s="2" t="s">
        <v>185</v>
      </c>
      <c r="H96" s="18"/>
      <c r="I96" s="19"/>
      <c r="J96" s="4"/>
    </row>
    <row r="97" spans="1:10" hidden="1" x14ac:dyDescent="0.2">
      <c r="A97" s="5" t="s">
        <v>234</v>
      </c>
      <c r="B97" s="4">
        <v>9</v>
      </c>
      <c r="C97" s="4"/>
      <c r="D97" s="4"/>
      <c r="E97" s="2" t="s">
        <v>186</v>
      </c>
      <c r="H97" s="18"/>
      <c r="I97" s="19"/>
      <c r="J97" s="4"/>
    </row>
    <row r="98" spans="1:10" hidden="1" x14ac:dyDescent="0.2">
      <c r="A98" s="5" t="s">
        <v>235</v>
      </c>
      <c r="B98" s="4">
        <v>10</v>
      </c>
      <c r="C98" s="4"/>
      <c r="D98" s="4"/>
      <c r="E98" s="2" t="s">
        <v>187</v>
      </c>
      <c r="H98" s="18"/>
      <c r="I98" s="19"/>
      <c r="J98" s="4"/>
    </row>
    <row r="99" spans="1:10" hidden="1" x14ac:dyDescent="0.2">
      <c r="A99" s="5" t="s">
        <v>236</v>
      </c>
      <c r="B99" s="4"/>
      <c r="C99" s="4"/>
      <c r="D99" s="4"/>
      <c r="E99" s="2" t="s">
        <v>188</v>
      </c>
      <c r="H99" s="18"/>
      <c r="I99" s="19"/>
      <c r="J99" s="4"/>
    </row>
    <row r="100" spans="1:10" hidden="1" x14ac:dyDescent="0.2">
      <c r="A100" s="5" t="s">
        <v>238</v>
      </c>
      <c r="B100" s="4"/>
      <c r="C100" s="4"/>
      <c r="D100" s="4"/>
      <c r="E100" s="2" t="s">
        <v>189</v>
      </c>
      <c r="H100" s="18"/>
      <c r="I100" s="19"/>
      <c r="J100" s="4"/>
    </row>
    <row r="101" spans="1:10" hidden="1" x14ac:dyDescent="0.2">
      <c r="A101" s="5" t="s">
        <v>239</v>
      </c>
      <c r="B101" s="4"/>
      <c r="C101" s="4"/>
      <c r="D101" s="4"/>
      <c r="E101" s="2" t="s">
        <v>190</v>
      </c>
      <c r="H101" s="18"/>
      <c r="I101" s="19"/>
      <c r="J101" s="4"/>
    </row>
    <row r="102" spans="1:10" hidden="1" x14ac:dyDescent="0.2">
      <c r="A102" s="5" t="s">
        <v>241</v>
      </c>
      <c r="B102" s="4"/>
      <c r="C102" s="4"/>
      <c r="D102" s="4"/>
      <c r="E102" s="2" t="s">
        <v>192</v>
      </c>
      <c r="H102" s="18"/>
      <c r="I102" s="19"/>
      <c r="J102" s="4"/>
    </row>
    <row r="103" spans="1:10" hidden="1" x14ac:dyDescent="0.2">
      <c r="A103" s="5" t="s">
        <v>243</v>
      </c>
      <c r="B103" s="4"/>
      <c r="C103" s="4"/>
      <c r="D103" s="4"/>
      <c r="E103" s="2" t="s">
        <v>191</v>
      </c>
      <c r="H103" s="18"/>
      <c r="I103" s="19"/>
      <c r="J103" s="4"/>
    </row>
    <row r="104" spans="1:10" hidden="1" x14ac:dyDescent="0.2">
      <c r="A104" s="5" t="s">
        <v>244</v>
      </c>
      <c r="B104" s="4"/>
      <c r="C104" s="4"/>
      <c r="D104" s="4"/>
      <c r="E104" s="2" t="s">
        <v>101</v>
      </c>
      <c r="H104" s="18"/>
      <c r="I104" s="19"/>
      <c r="J104" s="4"/>
    </row>
    <row r="105" spans="1:10" hidden="1" x14ac:dyDescent="0.2">
      <c r="A105" s="5" t="s">
        <v>245</v>
      </c>
      <c r="B105" s="4"/>
      <c r="C105" s="4"/>
      <c r="D105" s="4"/>
      <c r="F105" s="10"/>
      <c r="H105" s="20"/>
      <c r="I105" s="19"/>
      <c r="J105" s="4"/>
    </row>
    <row r="106" spans="1:10" hidden="1" x14ac:dyDescent="0.2">
      <c r="A106" s="11" t="s">
        <v>246</v>
      </c>
      <c r="B106" s="4"/>
      <c r="C106" s="4"/>
      <c r="D106" s="4"/>
      <c r="F106" s="10"/>
      <c r="H106" s="18"/>
      <c r="I106" s="19"/>
      <c r="J106" s="4"/>
    </row>
    <row r="107" spans="1:10" hidden="1" x14ac:dyDescent="0.2">
      <c r="A107" s="11" t="s">
        <v>247</v>
      </c>
      <c r="B107" s="4"/>
      <c r="C107" s="4"/>
      <c r="D107" s="4"/>
      <c r="F107" s="10"/>
      <c r="H107" s="20"/>
      <c r="I107" s="19"/>
      <c r="J107" s="4"/>
    </row>
    <row r="108" spans="1:10" hidden="1" x14ac:dyDescent="0.2">
      <c r="A108" s="11" t="s">
        <v>249</v>
      </c>
      <c r="B108" s="4"/>
      <c r="C108" s="4"/>
      <c r="D108" s="4"/>
      <c r="F108" s="10"/>
      <c r="G108" s="10"/>
      <c r="H108" s="20"/>
      <c r="I108" s="19"/>
      <c r="J108" s="4"/>
    </row>
    <row r="109" spans="1:10" hidden="1" x14ac:dyDescent="0.2">
      <c r="A109" s="11" t="s">
        <v>251</v>
      </c>
      <c r="B109" s="4"/>
      <c r="C109" s="4"/>
      <c r="D109" s="4"/>
      <c r="F109" s="10"/>
      <c r="G109" s="10"/>
      <c r="H109" s="20"/>
      <c r="I109" s="19"/>
      <c r="J109" s="4"/>
    </row>
    <row r="110" spans="1:10" hidden="1" x14ac:dyDescent="0.2">
      <c r="A110" s="11" t="s">
        <v>253</v>
      </c>
      <c r="B110" s="4"/>
      <c r="C110" s="4"/>
      <c r="D110" s="4"/>
      <c r="F110" s="10"/>
      <c r="G110" s="10"/>
      <c r="H110" s="20"/>
      <c r="I110" s="19"/>
      <c r="J110" s="4"/>
    </row>
    <row r="111" spans="1:10" hidden="1" x14ac:dyDescent="0.2">
      <c r="A111" s="11" t="s">
        <v>255</v>
      </c>
      <c r="B111" s="4"/>
      <c r="C111" s="4"/>
      <c r="D111" s="4"/>
      <c r="F111" s="10"/>
      <c r="G111" s="10"/>
      <c r="H111" s="20"/>
      <c r="I111" s="19"/>
      <c r="J111" s="4"/>
    </row>
    <row r="112" spans="1:10" hidden="1" x14ac:dyDescent="0.2">
      <c r="A112" s="11" t="s">
        <v>258</v>
      </c>
      <c r="B112" s="4"/>
      <c r="C112" s="4"/>
      <c r="D112" s="4"/>
      <c r="F112" s="10"/>
      <c r="G112" s="10"/>
      <c r="H112" s="20"/>
      <c r="I112" s="19"/>
      <c r="J112" s="4"/>
    </row>
    <row r="113" spans="1:10" hidden="1" x14ac:dyDescent="0.2">
      <c r="A113" s="11" t="s">
        <v>259</v>
      </c>
      <c r="B113" s="4"/>
      <c r="C113" s="4"/>
      <c r="D113" s="4"/>
      <c r="F113" s="10"/>
      <c r="G113" s="10"/>
      <c r="H113" s="20"/>
      <c r="I113" s="19"/>
      <c r="J113" s="4"/>
    </row>
    <row r="114" spans="1:10" hidden="1" x14ac:dyDescent="0.2">
      <c r="A114" s="5" t="s">
        <v>261</v>
      </c>
      <c r="B114" s="4"/>
      <c r="C114" s="4"/>
      <c r="D114" s="4"/>
      <c r="F114" s="10"/>
      <c r="G114" s="10"/>
      <c r="H114" s="20"/>
      <c r="I114" s="19"/>
      <c r="J114" s="4"/>
    </row>
    <row r="115" spans="1:10" hidden="1" x14ac:dyDescent="0.2">
      <c r="A115" s="11" t="s">
        <v>262</v>
      </c>
      <c r="B115" s="4"/>
      <c r="C115" s="4"/>
      <c r="D115" s="4"/>
      <c r="F115" s="10"/>
      <c r="G115" s="10"/>
      <c r="H115" s="20"/>
      <c r="I115" s="19"/>
      <c r="J115" s="4"/>
    </row>
    <row r="116" spans="1:10" hidden="1" x14ac:dyDescent="0.2">
      <c r="A116" s="11" t="s">
        <v>263</v>
      </c>
      <c r="B116" s="4"/>
      <c r="C116" s="4"/>
      <c r="D116" s="4"/>
      <c r="F116" s="10"/>
      <c r="G116" s="10"/>
      <c r="H116" s="20"/>
      <c r="I116" s="19"/>
      <c r="J116" s="4"/>
    </row>
    <row r="117" spans="1:10" hidden="1" x14ac:dyDescent="0.2">
      <c r="A117" s="11" t="s">
        <v>265</v>
      </c>
      <c r="B117" s="4"/>
      <c r="C117" s="4"/>
      <c r="D117" s="4"/>
      <c r="F117" s="10"/>
      <c r="G117" s="10"/>
      <c r="H117" s="20"/>
      <c r="I117" s="19"/>
      <c r="J117" s="4"/>
    </row>
    <row r="118" spans="1:10" hidden="1" x14ac:dyDescent="0.2">
      <c r="A118" s="11" t="s">
        <v>268</v>
      </c>
      <c r="B118" s="4"/>
      <c r="C118" s="4"/>
      <c r="D118" s="4"/>
      <c r="F118" s="10"/>
      <c r="G118" s="10"/>
      <c r="H118" s="20"/>
      <c r="I118" s="19"/>
      <c r="J118" s="4"/>
    </row>
    <row r="119" spans="1:10" hidden="1" x14ac:dyDescent="0.2">
      <c r="A119" s="11" t="s">
        <v>270</v>
      </c>
      <c r="B119" s="4"/>
      <c r="C119" s="4"/>
      <c r="D119" s="4"/>
      <c r="F119" s="10"/>
      <c r="H119" s="20"/>
      <c r="I119" s="19"/>
      <c r="J119" s="4"/>
    </row>
    <row r="120" spans="1:10" hidden="1" x14ac:dyDescent="0.2">
      <c r="A120" s="11" t="s">
        <v>272</v>
      </c>
      <c r="B120" s="4"/>
      <c r="C120" s="4"/>
      <c r="D120" s="4"/>
      <c r="F120" s="10"/>
      <c r="H120" s="20"/>
      <c r="I120" s="19"/>
      <c r="J120" s="4"/>
    </row>
    <row r="121" spans="1:10" hidden="1" x14ac:dyDescent="0.2">
      <c r="A121" s="11" t="s">
        <v>273</v>
      </c>
      <c r="B121" s="4"/>
      <c r="C121" s="4"/>
      <c r="D121" s="4"/>
      <c r="F121" s="10"/>
      <c r="H121" s="20"/>
      <c r="I121" s="19"/>
      <c r="J121" s="4"/>
    </row>
    <row r="122" spans="1:10" hidden="1" x14ac:dyDescent="0.2">
      <c r="A122" s="11" t="s">
        <v>274</v>
      </c>
      <c r="B122" s="4"/>
      <c r="C122" s="4"/>
      <c r="D122" s="4"/>
      <c r="F122" s="10"/>
      <c r="G122" s="10"/>
      <c r="H122" s="20"/>
      <c r="I122" s="19"/>
      <c r="J122" s="4"/>
    </row>
    <row r="123" spans="1:10" hidden="1" x14ac:dyDescent="0.2">
      <c r="A123" s="11" t="s">
        <v>276</v>
      </c>
      <c r="B123" s="4"/>
      <c r="C123" s="4"/>
      <c r="D123" s="4"/>
      <c r="F123" s="10"/>
      <c r="H123" s="20"/>
      <c r="I123" s="19"/>
      <c r="J123" s="4"/>
    </row>
    <row r="124" spans="1:10" hidden="1" x14ac:dyDescent="0.2">
      <c r="A124" s="11" t="s">
        <v>278</v>
      </c>
      <c r="B124" s="4"/>
      <c r="C124" s="4"/>
      <c r="D124" s="4"/>
      <c r="F124" s="10"/>
      <c r="H124" s="20"/>
      <c r="I124" s="19"/>
      <c r="J124" s="4"/>
    </row>
    <row r="125" spans="1:10" hidden="1" x14ac:dyDescent="0.2">
      <c r="A125" s="11" t="s">
        <v>279</v>
      </c>
      <c r="B125" s="4"/>
      <c r="C125" s="4"/>
      <c r="D125" s="4"/>
      <c r="F125" s="10"/>
      <c r="G125" s="10"/>
      <c r="H125" s="20"/>
      <c r="I125" s="19"/>
      <c r="J125" s="4"/>
    </row>
    <row r="126" spans="1:10" hidden="1" x14ac:dyDescent="0.2">
      <c r="A126" s="11" t="s">
        <v>280</v>
      </c>
      <c r="B126" s="4"/>
      <c r="C126" s="4"/>
      <c r="D126" s="4"/>
      <c r="F126" s="10"/>
      <c r="G126" s="10"/>
      <c r="H126" s="20"/>
      <c r="I126" s="19"/>
      <c r="J126" s="4"/>
    </row>
    <row r="127" spans="1:10" x14ac:dyDescent="0.2">
      <c r="A127" s="11"/>
      <c r="B127" s="4"/>
      <c r="C127" s="4"/>
      <c r="D127" s="4"/>
      <c r="F127" s="10"/>
      <c r="H127" s="20"/>
      <c r="I127" s="19"/>
      <c r="J127" s="4"/>
    </row>
    <row r="128" spans="1:10" x14ac:dyDescent="0.2">
      <c r="A128" s="11"/>
      <c r="B128" s="4"/>
      <c r="C128" s="4"/>
      <c r="D128" s="4"/>
      <c r="F128" s="10"/>
      <c r="H128" s="20"/>
      <c r="I128" s="19"/>
      <c r="J128" s="4"/>
    </row>
    <row r="129" spans="1:11" x14ac:dyDescent="0.2">
      <c r="A129" s="11"/>
      <c r="B129" s="4"/>
      <c r="C129" s="4"/>
      <c r="D129" s="4"/>
      <c r="F129" s="10"/>
      <c r="H129" s="20"/>
      <c r="I129" s="19"/>
      <c r="J129" s="4"/>
    </row>
    <row r="130" spans="1:11" x14ac:dyDescent="0.2">
      <c r="A130" s="11"/>
      <c r="B130" s="4"/>
      <c r="C130" s="4"/>
      <c r="D130" s="4"/>
      <c r="F130" s="10"/>
      <c r="G130" s="10"/>
      <c r="H130" s="20"/>
      <c r="I130" s="19"/>
      <c r="J130" s="4"/>
    </row>
    <row r="131" spans="1:11" x14ac:dyDescent="0.2">
      <c r="A131" s="11"/>
      <c r="B131" s="4"/>
      <c r="C131" s="4"/>
      <c r="D131" s="4"/>
      <c r="F131" s="10"/>
      <c r="H131" s="20"/>
      <c r="I131" s="19"/>
      <c r="J131" s="4"/>
    </row>
    <row r="132" spans="1:11" x14ac:dyDescent="0.2">
      <c r="A132" s="11"/>
      <c r="B132" s="4"/>
      <c r="C132" s="4"/>
      <c r="D132" s="4"/>
      <c r="F132" s="10"/>
      <c r="H132" s="20"/>
      <c r="I132" s="19"/>
      <c r="J132" s="4"/>
    </row>
    <row r="133" spans="1:11" x14ac:dyDescent="0.2">
      <c r="A133" s="11"/>
      <c r="B133" s="4"/>
      <c r="C133" s="4"/>
      <c r="D133" s="4"/>
      <c r="F133" s="10"/>
      <c r="H133" s="20"/>
      <c r="I133" s="19"/>
      <c r="J133" s="4"/>
    </row>
    <row r="134" spans="1:11" x14ac:dyDescent="0.2">
      <c r="A134" s="11"/>
      <c r="B134" s="4"/>
      <c r="C134" s="4"/>
      <c r="D134" s="4"/>
      <c r="F134" s="10"/>
      <c r="H134" s="20"/>
      <c r="I134" s="19"/>
      <c r="J134" s="4"/>
    </row>
    <row r="135" spans="1:11" x14ac:dyDescent="0.2">
      <c r="A135" s="11"/>
      <c r="B135" s="4"/>
      <c r="C135" s="4"/>
      <c r="D135" s="4"/>
      <c r="F135" s="10"/>
      <c r="H135" s="20"/>
      <c r="I135" s="19"/>
      <c r="J135" s="4"/>
    </row>
    <row r="136" spans="1:11" x14ac:dyDescent="0.2">
      <c r="A136" s="11"/>
      <c r="B136" s="4"/>
      <c r="C136" s="4"/>
      <c r="D136" s="4"/>
      <c r="F136" s="10"/>
      <c r="H136" s="20"/>
      <c r="I136" s="19"/>
      <c r="J136" s="4"/>
    </row>
    <row r="137" spans="1:11" x14ac:dyDescent="0.2">
      <c r="A137" s="11"/>
      <c r="B137" s="14"/>
      <c r="C137" s="14"/>
      <c r="D137" s="14"/>
      <c r="E137" s="10"/>
      <c r="F137" s="10"/>
      <c r="G137" s="10"/>
      <c r="H137" s="20"/>
      <c r="I137" s="21"/>
      <c r="J137" s="14"/>
      <c r="K137" s="10"/>
    </row>
  </sheetData>
  <phoneticPr fontId="1" type="noConversion"/>
  <dataValidations count="4">
    <dataValidation type="list" allowBlank="1" showInputMessage="1" showErrorMessage="1" sqref="A3:A31">
      <formula1>$A$75:$A$126</formula1>
    </dataValidation>
    <dataValidation type="list" allowBlank="1" showInputMessage="1" showErrorMessage="1" sqref="N3:N31">
      <formula1>$B$77:$B$81</formula1>
    </dataValidation>
    <dataValidation type="list" allowBlank="1" showInputMessage="1" showErrorMessage="1" sqref="R3:R31">
      <formula1>$B$87:$B$90</formula1>
    </dataValidation>
    <dataValidation type="list" allowBlank="1" showInputMessage="1" showErrorMessage="1" sqref="V3:AH31">
      <formula1>$E$77:$E$104</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35"/>
  <sheetViews>
    <sheetView workbookViewId="0">
      <selection activeCell="B13" sqref="B13"/>
    </sheetView>
  </sheetViews>
  <sheetFormatPr defaultRowHeight="12.75" x14ac:dyDescent="0.2"/>
  <cols>
    <col min="1" max="1" width="17.28515625" bestFit="1" customWidth="1"/>
    <col min="2" max="2" width="14.140625" style="24" customWidth="1"/>
    <col min="3" max="3" width="12.5703125" customWidth="1"/>
    <col min="4" max="4" width="15.85546875" style="24" bestFit="1" customWidth="1"/>
    <col min="5" max="5" width="6.28515625" bestFit="1" customWidth="1"/>
    <col min="7" max="7" width="13.7109375" bestFit="1" customWidth="1"/>
    <col min="8" max="9" width="12.28515625" style="2" customWidth="1"/>
    <col min="10" max="10" width="19" style="2" hidden="1" customWidth="1"/>
    <col min="11" max="11" width="7.140625" hidden="1" customWidth="1"/>
    <col min="12" max="13" width="17" customWidth="1"/>
    <col min="16" max="26" width="0" hidden="1" customWidth="1"/>
  </cols>
  <sheetData>
    <row r="1" spans="1:24" x14ac:dyDescent="0.2">
      <c r="A1" s="22" t="s">
        <v>157</v>
      </c>
      <c r="B1" s="65" t="str">
        <f>'Army 1 TL0-5'!B1</f>
        <v>Sir Richards Army</v>
      </c>
      <c r="E1" s="22"/>
      <c r="F1" s="22" t="s">
        <v>163</v>
      </c>
      <c r="G1" s="12"/>
      <c r="H1" s="29" t="str">
        <f>B1</f>
        <v>Sir Richards Army</v>
      </c>
      <c r="I1" s="29" t="str">
        <f>B13</f>
        <v>Army 2</v>
      </c>
      <c r="J1" s="25" t="s">
        <v>160</v>
      </c>
      <c r="K1" s="25" t="s">
        <v>159</v>
      </c>
      <c r="L1" s="25" t="str">
        <f>B1&amp;" Bonus"</f>
        <v>Sir Richards Army Bonus</v>
      </c>
      <c r="M1" s="25" t="str">
        <f>B13&amp;" Bonus"</f>
        <v>Army 2 Bonus</v>
      </c>
      <c r="P1" s="56" t="s">
        <v>157</v>
      </c>
      <c r="Q1" s="54" t="s">
        <v>397</v>
      </c>
      <c r="R1" s="54" t="s">
        <v>405</v>
      </c>
      <c r="S1" s="54" t="s">
        <v>406</v>
      </c>
      <c r="T1" s="54" t="s">
        <v>398</v>
      </c>
      <c r="U1" s="59" t="s">
        <v>407</v>
      </c>
      <c r="V1" s="54" t="s">
        <v>399</v>
      </c>
      <c r="W1" s="59" t="s">
        <v>401</v>
      </c>
      <c r="X1" s="59" t="s">
        <v>402</v>
      </c>
    </row>
    <row r="2" spans="1:24" x14ac:dyDescent="0.2">
      <c r="A2" s="11" t="s">
        <v>146</v>
      </c>
      <c r="B2" s="63">
        <f>'Army 1 TL0-5'!B36</f>
        <v>75.5</v>
      </c>
      <c r="C2" s="10"/>
      <c r="D2" s="4"/>
      <c r="E2" s="24"/>
      <c r="G2" s="11" t="s">
        <v>146</v>
      </c>
      <c r="H2" s="47" t="e">
        <f>IF(B2&gt;B14,B2/B14,1)</f>
        <v>#DIV/0!</v>
      </c>
      <c r="I2" s="47">
        <f>IF(B14&gt;B2,B14/B2,1)</f>
        <v>1</v>
      </c>
      <c r="J2" s="43" t="e">
        <f t="shared" ref="J2:J11" si="0">IF(H2&gt;I2,(ROUNDDOWN(H2/0.5,0)*0.5), (ROUNDDOWN(I2/0.5,0)*0.5))</f>
        <v>#DIV/0!</v>
      </c>
      <c r="K2" s="48" t="e">
        <f>IF(J2&gt;50,20,VLOOKUP(J2,'TL6-12 Tables'!A3:B103,2,FALSE))</f>
        <v>#DIV/0!</v>
      </c>
      <c r="L2" s="48" t="e">
        <f>IF(H2&gt;I2,K2,0)</f>
        <v>#DIV/0!</v>
      </c>
      <c r="M2" s="48" t="e">
        <f>IF(I2&gt;H2,K2,0)</f>
        <v>#DIV/0!</v>
      </c>
      <c r="P2" s="55" t="s">
        <v>101</v>
      </c>
      <c r="Q2" s="57">
        <v>0</v>
      </c>
      <c r="R2" s="26">
        <v>0</v>
      </c>
      <c r="S2" s="26">
        <v>0</v>
      </c>
      <c r="T2" s="27">
        <v>0</v>
      </c>
      <c r="U2" s="57">
        <v>0</v>
      </c>
      <c r="V2" s="57">
        <v>1</v>
      </c>
      <c r="W2" s="58">
        <v>0</v>
      </c>
      <c r="X2" s="58">
        <v>1</v>
      </c>
    </row>
    <row r="3" spans="1:24" x14ac:dyDescent="0.2">
      <c r="A3" s="11" t="s">
        <v>147</v>
      </c>
      <c r="B3" s="63">
        <f ca="1">'Army 1 TL0-5'!B37</f>
        <v>4</v>
      </c>
      <c r="C3" s="10" t="s">
        <v>364</v>
      </c>
      <c r="D3" s="63">
        <f ca="1">'Army 1 TL0-5'!F37</f>
        <v>0</v>
      </c>
      <c r="E3" s="24"/>
      <c r="F3" t="s">
        <v>164</v>
      </c>
      <c r="G3" s="11" t="s">
        <v>147</v>
      </c>
      <c r="H3" s="47">
        <f t="shared" ref="H3:H11" ca="1" si="1">IF(AND(B3&gt;0,B15&gt;0),IF(AND(B3&gt;B15,B3/(B15+D15)&gt;=1),B3/(B15+D15),IF(B3&gt;0,1,0)),IF(AND(B3&gt;0,B3&gt;$B$14/100,D15&gt;0),B3/D15,IF(AND(B3&gt;0,B3&gt;$B$14/100),5,IF(AND(B3+D3&gt;0,B15+D15&gt;0),1,0))))</f>
        <v>5</v>
      </c>
      <c r="I3" s="47">
        <f t="shared" ref="I3:I11" ca="1" si="2">IF(AND(B3&gt;0,B15&gt;0),IF(AND(B15&gt;B3,B15/(B3+D3)&gt;=1),B15/(B3+D3),IF(B15&gt;0,1,0)),IF(AND(B15&gt;0,B15&gt;$B$2/100,D3&gt;0),B15/D3,IF(AND(B15&gt;0,B15&gt;$B$2/100),5,IF(AND(B15+D15&gt;0,B3+D3&gt;0),1,0))))</f>
        <v>0</v>
      </c>
      <c r="J3" s="43">
        <f t="shared" ca="1" si="0"/>
        <v>5</v>
      </c>
      <c r="K3" s="48">
        <f ca="1">IF(J3=0,0,IF(J3&gt;5,3,VLOOKUP(J3,'TL6-12 Tables'!$D$3:$E$13,2,FALSE)))</f>
        <v>3</v>
      </c>
      <c r="L3" s="48">
        <f t="shared" ref="L3:L10" ca="1" si="3">IF(F3="Yes",IF(H3&gt;I3,K3,0),0)</f>
        <v>3</v>
      </c>
      <c r="M3" s="48">
        <f t="shared" ref="M3:M10" ca="1" si="4">IF(F3="Yes",IF(I3&gt;H3,K3,0),0)</f>
        <v>0</v>
      </c>
      <c r="P3" s="55" t="s">
        <v>383</v>
      </c>
      <c r="Q3" s="57">
        <v>2</v>
      </c>
      <c r="R3" s="27">
        <v>-0.05</v>
      </c>
      <c r="S3" s="27">
        <v>0</v>
      </c>
      <c r="T3" s="27" t="e">
        <f>IF(M27="Wins by 20+",0.4,IF(L27="Wins by 20+",0,IF(L27&gt;M27,VLOOKUP(L27,'TL6-12 Tables'!A111:D132,3,FALSE),VLOOKUP(M27,'TL6-12 Tables'!A111:D132,2,FALSE))))</f>
        <v>#DIV/0!</v>
      </c>
      <c r="U3" s="57">
        <v>0</v>
      </c>
      <c r="V3" s="57">
        <v>1</v>
      </c>
      <c r="W3" s="58">
        <v>0</v>
      </c>
      <c r="X3" s="58">
        <v>1</v>
      </c>
    </row>
    <row r="4" spans="1:24" x14ac:dyDescent="0.2">
      <c r="A4" s="11" t="s">
        <v>148</v>
      </c>
      <c r="B4" s="63">
        <f ca="1">'Army 1 TL0-5'!B38</f>
        <v>37.5</v>
      </c>
      <c r="C4" s="10" t="s">
        <v>365</v>
      </c>
      <c r="D4" s="63">
        <f ca="1">'Army 1 TL0-5'!F38</f>
        <v>0</v>
      </c>
      <c r="E4" s="24"/>
      <c r="F4" t="s">
        <v>164</v>
      </c>
      <c r="G4" s="11" t="s">
        <v>148</v>
      </c>
      <c r="H4" s="47">
        <f t="shared" ca="1" si="1"/>
        <v>5</v>
      </c>
      <c r="I4" s="47">
        <f t="shared" ca="1" si="2"/>
        <v>0</v>
      </c>
      <c r="J4" s="43">
        <f t="shared" ca="1" si="0"/>
        <v>5</v>
      </c>
      <c r="K4" s="48">
        <f ca="1">IF(J4=0,0,IF(J4&gt;5,3,VLOOKUP(J4,'TL6-12 Tables'!$D$3:$E$13,2,FALSE)))</f>
        <v>3</v>
      </c>
      <c r="L4" s="48">
        <f t="shared" ca="1" si="3"/>
        <v>3</v>
      </c>
      <c r="M4" s="48">
        <f t="shared" ca="1" si="4"/>
        <v>0</v>
      </c>
      <c r="P4" s="55" t="s">
        <v>384</v>
      </c>
      <c r="Q4" s="58">
        <v>0</v>
      </c>
      <c r="R4" s="26">
        <v>0</v>
      </c>
      <c r="S4" s="26">
        <v>0</v>
      </c>
      <c r="T4" s="26">
        <v>0</v>
      </c>
      <c r="U4" s="58">
        <v>0</v>
      </c>
      <c r="V4" s="57">
        <v>1</v>
      </c>
      <c r="W4" s="58">
        <v>0</v>
      </c>
      <c r="X4" s="58">
        <v>1</v>
      </c>
    </row>
    <row r="5" spans="1:24" x14ac:dyDescent="0.2">
      <c r="A5" s="11" t="s">
        <v>149</v>
      </c>
      <c r="B5" s="63">
        <f ca="1">'Army 1 TL0-5'!B39</f>
        <v>0</v>
      </c>
      <c r="C5" s="10" t="s">
        <v>366</v>
      </c>
      <c r="D5" s="63">
        <f ca="1">'Army 1 TL0-5'!F39</f>
        <v>0</v>
      </c>
      <c r="E5" s="24"/>
      <c r="F5" t="s">
        <v>164</v>
      </c>
      <c r="G5" s="11" t="s">
        <v>149</v>
      </c>
      <c r="H5" s="47">
        <f t="shared" ca="1" si="1"/>
        <v>0</v>
      </c>
      <c r="I5" s="47">
        <f t="shared" ca="1" si="2"/>
        <v>0</v>
      </c>
      <c r="J5" s="43">
        <f t="shared" ca="1" si="0"/>
        <v>0</v>
      </c>
      <c r="K5" s="48">
        <f ca="1">IF(J5=0,0,IF(J5&gt;5,3,VLOOKUP(J5,'TL6-12 Tables'!$D$3:$E$13,2,FALSE)))</f>
        <v>0</v>
      </c>
      <c r="L5" s="48">
        <f t="shared" ca="1" si="3"/>
        <v>0</v>
      </c>
      <c r="M5" s="48">
        <f t="shared" ca="1" si="4"/>
        <v>0</v>
      </c>
      <c r="P5" s="55" t="s">
        <v>385</v>
      </c>
      <c r="Q5" s="57">
        <f ca="1">IF(L7&gt;0,2,1)</f>
        <v>1</v>
      </c>
      <c r="R5" s="26">
        <v>0</v>
      </c>
      <c r="S5" s="26">
        <v>0</v>
      </c>
      <c r="T5" s="26">
        <v>0</v>
      </c>
      <c r="U5" s="57">
        <f>ROUNDDOWN(M16/2,0)</f>
        <v>0</v>
      </c>
      <c r="V5" s="57">
        <v>1</v>
      </c>
      <c r="W5" s="58">
        <v>0</v>
      </c>
      <c r="X5" s="58">
        <v>1</v>
      </c>
    </row>
    <row r="6" spans="1:24" x14ac:dyDescent="0.2">
      <c r="A6" s="11" t="s">
        <v>150</v>
      </c>
      <c r="B6" s="63">
        <f ca="1">'Army 1 TL0-5'!B40</f>
        <v>0</v>
      </c>
      <c r="C6" s="10" t="s">
        <v>62</v>
      </c>
      <c r="D6" s="63">
        <f ca="1">'Army 1 TL0-5'!F40</f>
        <v>0</v>
      </c>
      <c r="E6" s="24"/>
      <c r="F6" t="s">
        <v>164</v>
      </c>
      <c r="G6" s="11" t="s">
        <v>150</v>
      </c>
      <c r="H6" s="47">
        <f t="shared" ca="1" si="1"/>
        <v>0</v>
      </c>
      <c r="I6" s="47">
        <f t="shared" ca="1" si="2"/>
        <v>0</v>
      </c>
      <c r="J6" s="43">
        <f t="shared" ca="1" si="0"/>
        <v>0</v>
      </c>
      <c r="K6" s="48">
        <f ca="1">IF(J6=0,0,IF(J6&gt;5,3,VLOOKUP(J6,'TL6-12 Tables'!$D$3:$E$13,2,FALSE)))</f>
        <v>0</v>
      </c>
      <c r="L6" s="48">
        <f t="shared" ca="1" si="3"/>
        <v>0</v>
      </c>
      <c r="M6" s="48">
        <f t="shared" ca="1" si="4"/>
        <v>0</v>
      </c>
      <c r="P6" s="55" t="s">
        <v>386</v>
      </c>
      <c r="Q6" s="57">
        <f ca="1">IF(L10&gt;0,-2,-3)</f>
        <v>-3</v>
      </c>
      <c r="R6" s="26">
        <v>0</v>
      </c>
      <c r="S6" s="26">
        <v>0</v>
      </c>
      <c r="T6" s="27">
        <v>0</v>
      </c>
      <c r="U6" s="60">
        <v>0</v>
      </c>
      <c r="V6" s="57">
        <v>2</v>
      </c>
      <c r="W6" s="58">
        <v>0</v>
      </c>
      <c r="X6" s="58">
        <v>1</v>
      </c>
    </row>
    <row r="7" spans="1:24" x14ac:dyDescent="0.2">
      <c r="A7" s="11" t="s">
        <v>151</v>
      </c>
      <c r="B7" s="63">
        <f ca="1">'Army 1 TL0-5'!B41</f>
        <v>0</v>
      </c>
      <c r="C7" s="10" t="s">
        <v>367</v>
      </c>
      <c r="D7" s="63">
        <f ca="1">'Army 1 TL0-5'!F41</f>
        <v>0</v>
      </c>
      <c r="E7" s="24"/>
      <c r="F7" t="s">
        <v>164</v>
      </c>
      <c r="G7" s="11" t="s">
        <v>151</v>
      </c>
      <c r="H7" s="47">
        <f t="shared" ca="1" si="1"/>
        <v>0</v>
      </c>
      <c r="I7" s="47">
        <f t="shared" ca="1" si="2"/>
        <v>0</v>
      </c>
      <c r="J7" s="43">
        <f t="shared" ca="1" si="0"/>
        <v>0</v>
      </c>
      <c r="K7" s="48">
        <f ca="1">IF(J7=0,0,IF(J7&gt;5,3,VLOOKUP(J7,'TL6-12 Tables'!$D$3:$E$13,2,FALSE)))</f>
        <v>0</v>
      </c>
      <c r="L7" s="48">
        <f t="shared" ca="1" si="3"/>
        <v>0</v>
      </c>
      <c r="M7" s="48">
        <f t="shared" ca="1" si="4"/>
        <v>0</v>
      </c>
      <c r="P7" s="55" t="s">
        <v>400</v>
      </c>
      <c r="Q7" s="57">
        <f ca="1">IF(L10&gt;0,-2,-3)</f>
        <v>-3</v>
      </c>
      <c r="R7" s="26">
        <v>0</v>
      </c>
      <c r="S7" s="26">
        <v>0</v>
      </c>
      <c r="T7" s="27">
        <v>0</v>
      </c>
      <c r="U7" s="60">
        <v>0</v>
      </c>
      <c r="V7" s="57">
        <v>1.5</v>
      </c>
      <c r="W7" s="58">
        <v>0</v>
      </c>
      <c r="X7" s="58">
        <v>1</v>
      </c>
    </row>
    <row r="8" spans="1:24" x14ac:dyDescent="0.2">
      <c r="A8" s="11" t="s">
        <v>152</v>
      </c>
      <c r="B8" s="63">
        <f ca="1">'Army 1 TL0-5'!B42</f>
        <v>0</v>
      </c>
      <c r="C8" s="10" t="s">
        <v>368</v>
      </c>
      <c r="D8" s="63">
        <f ca="1">'Army 1 TL0-5'!F42</f>
        <v>0</v>
      </c>
      <c r="E8" s="24"/>
      <c r="F8" t="s">
        <v>164</v>
      </c>
      <c r="G8" s="11" t="s">
        <v>152</v>
      </c>
      <c r="H8" s="47">
        <f t="shared" ca="1" si="1"/>
        <v>0</v>
      </c>
      <c r="I8" s="47">
        <f t="shared" ca="1" si="2"/>
        <v>0</v>
      </c>
      <c r="J8" s="43">
        <f t="shared" ca="1" si="0"/>
        <v>0</v>
      </c>
      <c r="K8" s="48">
        <f ca="1">IF(J8=0,0,IF(J8&gt;5,3,VLOOKUP(J8,'TL6-12 Tables'!$D$3:$E$13,2,FALSE)))</f>
        <v>0</v>
      </c>
      <c r="L8" s="48">
        <f t="shared" ca="1" si="3"/>
        <v>0</v>
      </c>
      <c r="M8" s="48">
        <f t="shared" ca="1" si="4"/>
        <v>0</v>
      </c>
      <c r="P8" s="55" t="s">
        <v>387</v>
      </c>
      <c r="Q8" s="57">
        <v>2</v>
      </c>
      <c r="R8" s="26">
        <v>0</v>
      </c>
      <c r="S8" s="26">
        <v>0</v>
      </c>
      <c r="T8" s="27" t="e">
        <f>IF(M27="Wins by 20+",0.4,IF(L27="Wins by 20+",0,IF(L27&gt;M27,VLOOKUP(L27,'TL6-12 Tables'!A111:D132,3,FALSE),VLOOKUP(M27,'TL6-12 Tables'!A111:D132,2,FALSE))))</f>
        <v>#DIV/0!</v>
      </c>
      <c r="U8" s="60">
        <v>0</v>
      </c>
      <c r="V8" s="57">
        <v>1</v>
      </c>
      <c r="W8" s="58">
        <v>-1</v>
      </c>
      <c r="X8" s="57">
        <v>0</v>
      </c>
    </row>
    <row r="9" spans="1:24" x14ac:dyDescent="0.2">
      <c r="A9" s="11" t="s">
        <v>153</v>
      </c>
      <c r="B9" s="63">
        <f ca="1">'Army 1 TL0-5'!B43</f>
        <v>2</v>
      </c>
      <c r="C9" s="10" t="s">
        <v>369</v>
      </c>
      <c r="D9" s="63">
        <f ca="1">'Army 1 TL0-5'!F43</f>
        <v>0</v>
      </c>
      <c r="E9" s="24"/>
      <c r="F9" t="s">
        <v>164</v>
      </c>
      <c r="G9" s="11" t="s">
        <v>153</v>
      </c>
      <c r="H9" s="47">
        <f t="shared" ca="1" si="1"/>
        <v>5</v>
      </c>
      <c r="I9" s="47">
        <f t="shared" ca="1" si="2"/>
        <v>0</v>
      </c>
      <c r="J9" s="43">
        <f t="shared" ca="1" si="0"/>
        <v>5</v>
      </c>
      <c r="K9" s="48">
        <f ca="1">IF(J9=0,0,IF(J9&gt;5,3,VLOOKUP(J9,'TL6-12 Tables'!$D$3:$E$13,2,FALSE)))</f>
        <v>3</v>
      </c>
      <c r="L9" s="48">
        <f t="shared" ca="1" si="3"/>
        <v>3</v>
      </c>
      <c r="M9" s="48">
        <f t="shared" ca="1" si="4"/>
        <v>0</v>
      </c>
      <c r="P9" s="55" t="s">
        <v>388</v>
      </c>
      <c r="Q9" s="57">
        <v>1</v>
      </c>
      <c r="R9" s="26">
        <v>0</v>
      </c>
      <c r="S9" s="26">
        <v>0</v>
      </c>
      <c r="T9" s="26">
        <v>0</v>
      </c>
      <c r="U9" s="60">
        <v>0</v>
      </c>
      <c r="V9" s="57">
        <v>1</v>
      </c>
      <c r="W9" s="58">
        <v>0</v>
      </c>
      <c r="X9" s="57">
        <v>0</v>
      </c>
    </row>
    <row r="10" spans="1:24" x14ac:dyDescent="0.2">
      <c r="A10" s="11" t="s">
        <v>154</v>
      </c>
      <c r="B10" s="63">
        <f ca="1">'Army 1 TL0-5'!B44</f>
        <v>0</v>
      </c>
      <c r="C10" s="10" t="s">
        <v>370</v>
      </c>
      <c r="D10" s="63">
        <f ca="1">'Army 1 TL0-5'!F44</f>
        <v>0</v>
      </c>
      <c r="E10" s="24"/>
      <c r="F10" t="s">
        <v>164</v>
      </c>
      <c r="G10" s="11" t="s">
        <v>154</v>
      </c>
      <c r="H10" s="47">
        <f t="shared" ca="1" si="1"/>
        <v>0</v>
      </c>
      <c r="I10" s="47">
        <f t="shared" ca="1" si="2"/>
        <v>0</v>
      </c>
      <c r="J10" s="43">
        <f t="shared" ca="1" si="0"/>
        <v>0</v>
      </c>
      <c r="K10" s="48">
        <f ca="1">IF(J10=0,0,IF(J10&gt;5,3,VLOOKUP(J10,'TL6-12 Tables'!$D$3:$E$13,2,FALSE)))</f>
        <v>0</v>
      </c>
      <c r="L10" s="48">
        <f t="shared" ca="1" si="3"/>
        <v>0</v>
      </c>
      <c r="M10" s="48">
        <f t="shared" ca="1" si="4"/>
        <v>0</v>
      </c>
      <c r="P10" s="55" t="s">
        <v>389</v>
      </c>
      <c r="Q10" s="57">
        <f ca="1">IF(L3&gt;0,2,1)</f>
        <v>2</v>
      </c>
      <c r="R10" s="27">
        <v>-0.05</v>
      </c>
      <c r="S10" s="27">
        <v>-0.05</v>
      </c>
      <c r="T10" s="26">
        <v>0</v>
      </c>
      <c r="U10" s="60">
        <v>0</v>
      </c>
      <c r="V10" s="57">
        <v>1</v>
      </c>
      <c r="W10" s="58">
        <v>0</v>
      </c>
      <c r="X10" s="57">
        <v>0</v>
      </c>
    </row>
    <row r="11" spans="1:24" x14ac:dyDescent="0.2">
      <c r="A11" s="11" t="s">
        <v>166</v>
      </c>
      <c r="B11" s="63">
        <f>'Army 1 TL0-5'!B45</f>
        <v>0</v>
      </c>
      <c r="F11" s="12" t="s">
        <v>404</v>
      </c>
      <c r="G11" s="11" t="s">
        <v>166</v>
      </c>
      <c r="H11" s="47">
        <f t="shared" si="1"/>
        <v>0</v>
      </c>
      <c r="I11" s="47">
        <f t="shared" si="2"/>
        <v>0</v>
      </c>
      <c r="J11" s="43">
        <f t="shared" si="0"/>
        <v>0</v>
      </c>
      <c r="K11" s="48">
        <f>IF(J11=0,0,IF(J11&gt;5,3,VLOOKUP(J11,'TL6-12 Tables'!$D$3:$E$13,2,FALSE)))</f>
        <v>0</v>
      </c>
      <c r="L11" s="48">
        <f>IF(H11&gt;I11,K11,0)</f>
        <v>0</v>
      </c>
      <c r="M11" s="48">
        <f>IF(I11&gt;H11,K11,0)</f>
        <v>0</v>
      </c>
      <c r="P11" s="55" t="s">
        <v>390</v>
      </c>
      <c r="Q11" s="57">
        <f ca="1">IF(OR(L4&gt;0,L8&gt;0),1,0)</f>
        <v>1</v>
      </c>
      <c r="R11" s="26">
        <v>0</v>
      </c>
      <c r="S11" s="26">
        <v>0</v>
      </c>
      <c r="T11" s="26">
        <v>0.05</v>
      </c>
      <c r="U11" s="60">
        <v>0</v>
      </c>
      <c r="V11" s="57">
        <v>1</v>
      </c>
      <c r="W11" s="57">
        <v>1</v>
      </c>
      <c r="X11" s="57">
        <v>1</v>
      </c>
    </row>
    <row r="12" spans="1:24" x14ac:dyDescent="0.2">
      <c r="H12" s="42"/>
      <c r="I12" s="42"/>
      <c r="J12" s="42"/>
      <c r="P12" s="55" t="s">
        <v>391</v>
      </c>
      <c r="Q12" s="57">
        <v>0</v>
      </c>
      <c r="R12" s="26">
        <v>0</v>
      </c>
      <c r="S12" s="26">
        <v>0</v>
      </c>
      <c r="T12" s="26">
        <v>0</v>
      </c>
      <c r="U12" s="60">
        <v>0</v>
      </c>
      <c r="V12" s="57">
        <v>1</v>
      </c>
      <c r="W12" s="58">
        <v>0</v>
      </c>
      <c r="X12" s="57">
        <v>1</v>
      </c>
    </row>
    <row r="13" spans="1:24" x14ac:dyDescent="0.2">
      <c r="A13" s="23" t="s">
        <v>158</v>
      </c>
      <c r="B13" s="65" t="str">
        <f>'Army 2 TL0-5'!B1</f>
        <v>Army 2</v>
      </c>
      <c r="H13" s="68" t="s">
        <v>382</v>
      </c>
      <c r="I13" s="69"/>
      <c r="J13" s="42"/>
      <c r="L13" s="52" t="s">
        <v>101</v>
      </c>
      <c r="M13" s="52" t="s">
        <v>101</v>
      </c>
      <c r="P13" s="55" t="s">
        <v>392</v>
      </c>
      <c r="Q13" s="57">
        <v>-2</v>
      </c>
      <c r="R13" s="26">
        <v>0</v>
      </c>
      <c r="S13" s="26">
        <v>0</v>
      </c>
      <c r="T13" s="26">
        <v>0</v>
      </c>
      <c r="U13" s="60">
        <v>0</v>
      </c>
      <c r="V13" s="57">
        <v>1</v>
      </c>
      <c r="W13" s="58">
        <v>0</v>
      </c>
      <c r="X13" s="57">
        <v>1</v>
      </c>
    </row>
    <row r="14" spans="1:24" x14ac:dyDescent="0.2">
      <c r="A14" s="11" t="s">
        <v>146</v>
      </c>
      <c r="B14" s="63">
        <f>'Army 2 TL0-5'!B36</f>
        <v>0</v>
      </c>
      <c r="C14" s="10"/>
      <c r="D14" s="4"/>
      <c r="H14" s="69" t="s">
        <v>284</v>
      </c>
      <c r="I14" s="69"/>
      <c r="J14" s="42"/>
      <c r="L14" s="12">
        <v>0</v>
      </c>
      <c r="M14" s="12">
        <v>0</v>
      </c>
      <c r="P14" s="55" t="s">
        <v>393</v>
      </c>
      <c r="Q14" s="57">
        <v>3</v>
      </c>
      <c r="R14" s="26">
        <v>0</v>
      </c>
      <c r="S14" s="26">
        <v>0</v>
      </c>
      <c r="T14" s="26">
        <v>0</v>
      </c>
      <c r="U14" s="60">
        <v>0</v>
      </c>
      <c r="V14" s="57">
        <v>1</v>
      </c>
      <c r="W14" s="57">
        <v>1</v>
      </c>
      <c r="X14" s="57">
        <v>1</v>
      </c>
    </row>
    <row r="15" spans="1:24" x14ac:dyDescent="0.2">
      <c r="A15" s="11" t="s">
        <v>147</v>
      </c>
      <c r="B15" s="63">
        <f ca="1">'Army 2 TL0-5'!B37</f>
        <v>0</v>
      </c>
      <c r="C15" s="10" t="s">
        <v>364</v>
      </c>
      <c r="D15" s="63">
        <f ca="1">'Army 2 TL0-5'!F37</f>
        <v>0</v>
      </c>
      <c r="H15" s="69" t="s">
        <v>285</v>
      </c>
      <c r="I15" s="69"/>
      <c r="J15" s="42"/>
      <c r="L15" s="12">
        <v>0</v>
      </c>
      <c r="M15" s="12">
        <v>0</v>
      </c>
      <c r="P15" s="55" t="s">
        <v>394</v>
      </c>
      <c r="Q15" s="57">
        <v>8</v>
      </c>
      <c r="R15" s="27" t="e">
        <f>ABS(IF(L27="Wins by 20+",0.4,IF(M27="Wins by 20+",0,IF(M26&gt;L26,VLOOKUP(M27,'TL6-12 Tables'!A111:D132,3,FALSE),VLOOKUP(L27,'TL6-12 Tables'!A111:D132,2,FALSE)))))</f>
        <v>#DIV/0!</v>
      </c>
      <c r="S15" s="26" t="e">
        <f>ABS(IF(L27="Wins by 20+",0.4,IF(M27="Wins by 20+",0,IF(M26&gt;L26,VLOOKUP(M27,'TL6-12 Tables'!A111:D132,3,FALSE),VLOOKUP(L27,'TL6-12 Tables'!A111:D132,2,FALSE)))))</f>
        <v>#DIV/0!</v>
      </c>
      <c r="T15" s="27">
        <v>0.1</v>
      </c>
      <c r="U15" s="60">
        <v>0</v>
      </c>
      <c r="V15" s="57">
        <v>1</v>
      </c>
      <c r="W15" s="58">
        <v>0</v>
      </c>
      <c r="X15" s="57">
        <v>1</v>
      </c>
    </row>
    <row r="16" spans="1:24" x14ac:dyDescent="0.2">
      <c r="A16" s="11" t="s">
        <v>148</v>
      </c>
      <c r="B16" s="63">
        <f ca="1">'Army 2 TL0-5'!B38</f>
        <v>0</v>
      </c>
      <c r="C16" s="10" t="s">
        <v>365</v>
      </c>
      <c r="D16" s="63">
        <f ca="1">'Army 2 TL0-5'!F38</f>
        <v>0</v>
      </c>
      <c r="H16" s="69" t="s">
        <v>281</v>
      </c>
      <c r="I16" s="69"/>
      <c r="J16" s="42"/>
      <c r="L16" s="12">
        <v>0</v>
      </c>
      <c r="M16" s="12">
        <v>0</v>
      </c>
      <c r="P16" s="55" t="s">
        <v>395</v>
      </c>
      <c r="Q16" s="57">
        <f ca="1">COUNTIF(L6,"&gt;0")+COUNTIF(L4,"&gt;0")+COUNTIF(L8,"&gt;0")+COUNTIF(L11,"&gt;0")</f>
        <v>1</v>
      </c>
      <c r="R16" s="26">
        <v>0</v>
      </c>
      <c r="S16" s="26">
        <v>0</v>
      </c>
      <c r="T16" s="26">
        <v>0</v>
      </c>
      <c r="U16" s="60">
        <v>0</v>
      </c>
      <c r="V16" s="57">
        <v>1</v>
      </c>
      <c r="W16" s="58">
        <v>0</v>
      </c>
      <c r="X16" s="57">
        <v>1</v>
      </c>
    </row>
    <row r="17" spans="1:24" x14ac:dyDescent="0.2">
      <c r="A17" s="11" t="s">
        <v>149</v>
      </c>
      <c r="B17" s="63">
        <f ca="1">'Army 2 TL0-5'!B39</f>
        <v>0</v>
      </c>
      <c r="C17" s="10" t="s">
        <v>366</v>
      </c>
      <c r="D17" s="63">
        <f ca="1">'Army 2 TL0-5'!F39</f>
        <v>0</v>
      </c>
      <c r="H17" s="69" t="s">
        <v>286</v>
      </c>
      <c r="I17" s="69"/>
      <c r="J17" s="42"/>
      <c r="L17" s="12">
        <v>0</v>
      </c>
      <c r="M17" s="12">
        <v>0</v>
      </c>
      <c r="P17" s="55" t="s">
        <v>396</v>
      </c>
      <c r="Q17" s="57">
        <f ca="1">IF(OR(L6&gt;0,L7&gt;0,L3&gt;0),3,2)</f>
        <v>3</v>
      </c>
      <c r="R17" s="26">
        <v>0</v>
      </c>
      <c r="S17" s="26">
        <v>0</v>
      </c>
      <c r="T17" s="26">
        <v>0.05</v>
      </c>
      <c r="U17" s="60">
        <v>0</v>
      </c>
      <c r="V17" s="57">
        <v>0.5</v>
      </c>
      <c r="W17" s="58">
        <v>0</v>
      </c>
      <c r="X17" s="57">
        <v>0</v>
      </c>
    </row>
    <row r="18" spans="1:24" x14ac:dyDescent="0.2">
      <c r="A18" s="11" t="s">
        <v>150</v>
      </c>
      <c r="B18" s="63">
        <f ca="1">'Army 2 TL0-5'!B40</f>
        <v>0</v>
      </c>
      <c r="C18" s="10" t="s">
        <v>62</v>
      </c>
      <c r="D18" s="63">
        <f ca="1">'Army 2 TL0-5'!F40</f>
        <v>0</v>
      </c>
      <c r="H18" s="68" t="s">
        <v>403</v>
      </c>
      <c r="I18" s="68"/>
      <c r="J18" s="42"/>
      <c r="L18" s="12">
        <v>0</v>
      </c>
      <c r="M18" s="12">
        <v>0</v>
      </c>
      <c r="U18" s="58"/>
      <c r="W18" s="58"/>
      <c r="X18" s="58"/>
    </row>
    <row r="19" spans="1:24" x14ac:dyDescent="0.2">
      <c r="A19" s="11" t="s">
        <v>151</v>
      </c>
      <c r="B19" s="63">
        <f ca="1">'Army 2 TL0-5'!B41</f>
        <v>0</v>
      </c>
      <c r="C19" s="10" t="s">
        <v>367</v>
      </c>
      <c r="D19" s="63">
        <f ca="1">'Army 2 TL0-5'!F41</f>
        <v>0</v>
      </c>
      <c r="H19" s="69" t="s">
        <v>283</v>
      </c>
      <c r="I19" s="69"/>
      <c r="J19" s="42"/>
      <c r="L19" s="49">
        <f>B26</f>
        <v>0</v>
      </c>
      <c r="M19" s="49">
        <f>B29</f>
        <v>0</v>
      </c>
      <c r="P19" s="56" t="s">
        <v>158</v>
      </c>
      <c r="Q19" s="54" t="s">
        <v>397</v>
      </c>
      <c r="R19" s="54" t="s">
        <v>405</v>
      </c>
      <c r="S19" s="54" t="s">
        <v>406</v>
      </c>
      <c r="T19" s="54" t="s">
        <v>398</v>
      </c>
      <c r="U19" s="59" t="s">
        <v>407</v>
      </c>
      <c r="V19" s="54" t="s">
        <v>399</v>
      </c>
      <c r="W19" s="59" t="s">
        <v>401</v>
      </c>
      <c r="X19" s="59" t="s">
        <v>402</v>
      </c>
    </row>
    <row r="20" spans="1:24" x14ac:dyDescent="0.2">
      <c r="A20" s="11" t="s">
        <v>152</v>
      </c>
      <c r="B20" s="63">
        <f ca="1">'Army 2 TL0-5'!B42</f>
        <v>0</v>
      </c>
      <c r="C20" s="10" t="s">
        <v>368</v>
      </c>
      <c r="D20" s="63">
        <f ca="1">'Army 2 TL0-5'!F42</f>
        <v>0</v>
      </c>
      <c r="H20" s="42"/>
      <c r="I20" s="42"/>
      <c r="J20" s="42"/>
      <c r="P20" s="55" t="s">
        <v>101</v>
      </c>
      <c r="Q20" s="57">
        <v>0</v>
      </c>
      <c r="R20" s="27">
        <v>0</v>
      </c>
      <c r="S20" s="27">
        <v>0</v>
      </c>
      <c r="T20" s="26">
        <v>0</v>
      </c>
      <c r="U20" s="58">
        <v>0</v>
      </c>
      <c r="V20" s="60">
        <v>1</v>
      </c>
      <c r="W20" s="58">
        <v>0</v>
      </c>
      <c r="X20" s="58">
        <v>1</v>
      </c>
    </row>
    <row r="21" spans="1:24" x14ac:dyDescent="0.2">
      <c r="A21" s="11" t="s">
        <v>153</v>
      </c>
      <c r="B21" s="63">
        <f ca="1">'Army 2 TL0-5'!B43</f>
        <v>0</v>
      </c>
      <c r="C21" s="10" t="s">
        <v>369</v>
      </c>
      <c r="D21" s="63">
        <f ca="1">'Army 2 TL0-5'!F43</f>
        <v>0</v>
      </c>
      <c r="H21" s="42"/>
      <c r="I21" s="11" t="s">
        <v>162</v>
      </c>
      <c r="J21" s="42"/>
      <c r="L21" s="48" t="e">
        <f>SUM(L2:L10)+SUM(L14:L19)+VLOOKUP(L13,P2:Q17,2,FALSE)+VLOOKUP(L13,P2:U17,6,FALSE)</f>
        <v>#DIV/0!</v>
      </c>
      <c r="M21" s="48" t="e">
        <f>SUM(M2:M10)+SUM(M14:M19)+VLOOKUP(M13,P20:Q35,2,FALSE)+VLOOKUP(M13,P20:U35,6,FALSE)</f>
        <v>#DIV/0!</v>
      </c>
      <c r="P21" s="55" t="s">
        <v>383</v>
      </c>
      <c r="Q21" s="57">
        <v>2</v>
      </c>
      <c r="R21" s="27">
        <v>-0.05</v>
      </c>
      <c r="S21" s="27">
        <v>0</v>
      </c>
      <c r="T21" s="27" t="e">
        <f>IF(L27="Wins by 20+",0.4,IF(M27="Wins by 20+",0,IF(M26&gt;L26,VLOOKUP(M27,'TL6-12 Tables'!A111:D132,3,FALSE),VLOOKUP(L27,'TL6-12 Tables'!A111:D132,2,FALSE))))</f>
        <v>#DIV/0!</v>
      </c>
      <c r="U21" s="57">
        <v>0</v>
      </c>
      <c r="V21" s="57">
        <v>1</v>
      </c>
      <c r="W21" s="57">
        <v>0</v>
      </c>
      <c r="X21" s="58">
        <v>1</v>
      </c>
    </row>
    <row r="22" spans="1:24" x14ac:dyDescent="0.2">
      <c r="A22" s="11" t="s">
        <v>154</v>
      </c>
      <c r="B22" s="63">
        <f ca="1">'Army 2 TL0-5'!B44</f>
        <v>0</v>
      </c>
      <c r="C22" s="10" t="s">
        <v>370</v>
      </c>
      <c r="D22" s="63">
        <f ca="1">'Army 2 TL0-5'!F44</f>
        <v>0</v>
      </c>
      <c r="H22" s="30"/>
      <c r="I22" s="11" t="s">
        <v>320</v>
      </c>
      <c r="J22" s="42"/>
      <c r="L22" s="12">
        <v>0</v>
      </c>
      <c r="M22" s="12">
        <v>0</v>
      </c>
      <c r="P22" s="55" t="s">
        <v>384</v>
      </c>
      <c r="Q22" s="58">
        <v>0</v>
      </c>
      <c r="R22" s="26">
        <v>0</v>
      </c>
      <c r="S22" s="26">
        <v>0</v>
      </c>
      <c r="T22" s="26">
        <v>0</v>
      </c>
      <c r="U22" s="58">
        <v>0</v>
      </c>
      <c r="V22" s="60">
        <v>1</v>
      </c>
      <c r="W22" s="58">
        <v>0</v>
      </c>
      <c r="X22" s="58">
        <v>1</v>
      </c>
    </row>
    <row r="23" spans="1:24" x14ac:dyDescent="0.2">
      <c r="A23" s="11" t="s">
        <v>166</v>
      </c>
      <c r="B23" s="63">
        <f>'Army 2 TL0-5'!B45</f>
        <v>0</v>
      </c>
      <c r="H23" s="30"/>
      <c r="I23" s="42"/>
      <c r="J23" s="42"/>
      <c r="P23" s="55" t="s">
        <v>385</v>
      </c>
      <c r="Q23" s="57">
        <f ca="1">IF(M7&gt;0,2,1)</f>
        <v>1</v>
      </c>
      <c r="R23" s="26">
        <v>0</v>
      </c>
      <c r="S23" s="26">
        <v>0</v>
      </c>
      <c r="T23" s="26">
        <v>0</v>
      </c>
      <c r="U23" s="57">
        <f>ROUNDDOWN(L16/2,0)</f>
        <v>0</v>
      </c>
      <c r="V23" s="60">
        <v>1</v>
      </c>
      <c r="W23" s="58">
        <v>0</v>
      </c>
      <c r="X23" s="58">
        <v>1</v>
      </c>
    </row>
    <row r="24" spans="1:24" x14ac:dyDescent="0.2">
      <c r="H24" s="30"/>
      <c r="I24" s="42"/>
      <c r="J24" s="42"/>
      <c r="P24" s="55" t="s">
        <v>386</v>
      </c>
      <c r="Q24" s="57">
        <f ca="1">IF(M10&gt;0,-2,-3)</f>
        <v>-3</v>
      </c>
      <c r="R24" s="26">
        <v>0</v>
      </c>
      <c r="S24" s="26">
        <v>0</v>
      </c>
      <c r="T24" s="27">
        <v>0</v>
      </c>
      <c r="U24" s="60">
        <v>0</v>
      </c>
      <c r="V24" s="57">
        <v>2</v>
      </c>
      <c r="W24" s="58">
        <v>0</v>
      </c>
      <c r="X24" s="58">
        <v>1</v>
      </c>
    </row>
    <row r="25" spans="1:24" x14ac:dyDescent="0.2">
      <c r="A25" s="2" t="str">
        <f>B1&amp;" Casualties"</f>
        <v>Sir Richards Army Casualties</v>
      </c>
      <c r="B25" s="14" t="s">
        <v>317</v>
      </c>
      <c r="H25" s="30"/>
      <c r="I25" s="25" t="s">
        <v>287</v>
      </c>
      <c r="J25" s="42"/>
      <c r="L25" s="12">
        <v>0</v>
      </c>
      <c r="M25" s="12">
        <v>0</v>
      </c>
      <c r="P25" s="55" t="s">
        <v>400</v>
      </c>
      <c r="Q25" s="57">
        <f ca="1">IF(M10&gt;0,-2,-3)</f>
        <v>-3</v>
      </c>
      <c r="R25" s="26">
        <v>0</v>
      </c>
      <c r="S25" s="26">
        <v>0</v>
      </c>
      <c r="T25" s="27">
        <v>0</v>
      </c>
      <c r="U25" s="60">
        <v>0</v>
      </c>
      <c r="V25" s="57">
        <v>1.5</v>
      </c>
      <c r="W25" s="58">
        <v>0</v>
      </c>
      <c r="X25" s="58">
        <v>1</v>
      </c>
    </row>
    <row r="26" spans="1:24" x14ac:dyDescent="0.2">
      <c r="A26" s="44">
        <v>0</v>
      </c>
      <c r="B26" s="46">
        <f>VLOOKUP(A26,'TL0-5 Tables'!A135:B155,2,FALSE)</f>
        <v>0</v>
      </c>
      <c r="H26" s="42"/>
      <c r="I26" s="42" t="s">
        <v>289</v>
      </c>
      <c r="J26" s="42"/>
      <c r="L26" s="48" t="e">
        <f>(L21+L22)-L25</f>
        <v>#DIV/0!</v>
      </c>
      <c r="M26" s="48" t="e">
        <f>(M21+M22)-M25</f>
        <v>#DIV/0!</v>
      </c>
      <c r="P26" s="55" t="s">
        <v>387</v>
      </c>
      <c r="Q26" s="57">
        <v>2</v>
      </c>
      <c r="R26" s="26">
        <v>0</v>
      </c>
      <c r="S26" s="26">
        <v>0</v>
      </c>
      <c r="T26" s="27" t="e">
        <f>IF(L27="Wins by 20+",0.4,IF(M27="Wins by 20+",0,IF(M26&gt;L26,VLOOKUP(M27,'TL6-12 Tables'!A111:D132,3,FALSE),VLOOKUP(L27,'TL6-12 Tables'!A111:D132,2,FALSE))))</f>
        <v>#DIV/0!</v>
      </c>
      <c r="U26" s="60">
        <v>0</v>
      </c>
      <c r="V26" s="60">
        <v>1</v>
      </c>
      <c r="W26" s="58">
        <v>-1</v>
      </c>
      <c r="X26" s="57">
        <v>0</v>
      </c>
    </row>
    <row r="27" spans="1:24" x14ac:dyDescent="0.2">
      <c r="A27" s="2"/>
      <c r="B27" s="4"/>
      <c r="D27"/>
      <c r="H27" s="42"/>
      <c r="I27" s="10" t="s">
        <v>288</v>
      </c>
      <c r="J27" s="42"/>
      <c r="L27" s="43" t="e">
        <f>IF(ROUNDDOWN((L26-M26)*VLOOKUP(L13,P2:V17,7,FALSE),0)&gt;20,"Wins by 20+",IF(L26=M26,"Tie",IF(L26&gt;M26,"Wins by " &amp;ROUNDDOWN((L26-M26)*VLOOKUP(L13,P2:V17,7,FALSE),0),"")))</f>
        <v>#DIV/0!</v>
      </c>
      <c r="M27" s="43" t="e">
        <f>IF(ROUNDDOWN((M26-L26)*VLOOKUP(M13,P20:V35,7,FALSE),0)&gt;20,"Wins by 20+",IF(L26=M26,"Tie",IF(M26&gt;L26,"Wins by "&amp;ROUNDDOWN((M26-L26)*VLOOKUP(M13,P20:V35,7,FALSE),0),"")))</f>
        <v>#DIV/0!</v>
      </c>
      <c r="P27" s="55" t="s">
        <v>388</v>
      </c>
      <c r="Q27" s="57">
        <v>1</v>
      </c>
      <c r="R27" s="26">
        <v>0</v>
      </c>
      <c r="S27" s="26">
        <v>0</v>
      </c>
      <c r="T27" s="26">
        <v>0</v>
      </c>
      <c r="U27" s="60">
        <v>0</v>
      </c>
      <c r="V27" s="60">
        <v>1</v>
      </c>
      <c r="W27" s="58">
        <v>0</v>
      </c>
      <c r="X27" s="57">
        <v>0</v>
      </c>
    </row>
    <row r="28" spans="1:24" x14ac:dyDescent="0.2">
      <c r="A28" s="2" t="str">
        <f>B13&amp;" Casualties"</f>
        <v>Army 2 Casualties</v>
      </c>
      <c r="B28" s="14" t="s">
        <v>317</v>
      </c>
      <c r="D28"/>
      <c r="H28" s="42"/>
      <c r="I28" s="42" t="s">
        <v>282</v>
      </c>
      <c r="J28" s="42"/>
      <c r="L28" s="50" t="e">
        <f>(IF(M27="Wins by 20+",0.4,IF(L27="Wins by 20+",0,IF(L27&gt;M27,VLOOKUP(L27,'TL6-12 Tables'!A111:D132,3,FALSE),VLOOKUP(M27,'TL6-12 Tables'!A111:D132,2,FALSE)))))+IF(L27="",VLOOKUP(M13,P20:S35,3,FALSE),0)+IF(L27="Tie",VLOOKUP(M13,P20:S35,4,FALSE),0)+VLOOKUP(L13,P2:T17,5,FALSE)</f>
        <v>#DIV/0!</v>
      </c>
      <c r="M28" s="50" t="e">
        <f>IF(L27="Wins by 20+",0.4,IF(M27="Wins by 20+",0,IF(M26&gt;L26,VLOOKUP(M27,'TL6-12 Tables'!A111:D132,3,FALSE),VLOOKUP(L27,'TL6-12 Tables'!A111:D132,2,FALSE))))+IF(M27="",VLOOKUP(L13,P2:S17,3,FALSE),0)+IF(M27="Tie",VLOOKUP(L13,P2:S17,4,FALSE),0)+VLOOKUP(M13,P20:T35,5,FALSE)</f>
        <v>#DIV/0!</v>
      </c>
      <c r="P28" s="55" t="s">
        <v>389</v>
      </c>
      <c r="Q28" s="57">
        <f ca="1">IF(M3&gt;0,2,1)</f>
        <v>1</v>
      </c>
      <c r="R28" s="27">
        <v>-0.05</v>
      </c>
      <c r="S28" s="27">
        <v>-0.05</v>
      </c>
      <c r="T28" s="26">
        <v>0</v>
      </c>
      <c r="U28" s="60">
        <v>0</v>
      </c>
      <c r="V28" s="60">
        <v>1</v>
      </c>
      <c r="W28" s="58">
        <v>0</v>
      </c>
      <c r="X28" s="57">
        <v>0</v>
      </c>
    </row>
    <row r="29" spans="1:24" x14ac:dyDescent="0.2">
      <c r="A29" s="44">
        <v>0</v>
      </c>
      <c r="B29" s="46">
        <f>VLOOKUP(A29,'TL0-5 Tables'!A135:B155,2,FALSE)</f>
        <v>0</v>
      </c>
      <c r="D29"/>
      <c r="H29" s="42"/>
      <c r="I29" s="42" t="s">
        <v>290</v>
      </c>
      <c r="J29" s="42"/>
      <c r="L29" s="51" t="e">
        <f>IF(L27="Wins by 20+",4*VLOOKUP(L13,P2:X17,9,FALSE),IF(L27&gt;M27,VLOOKUP(L27,'TL6-12 Tables'!A111:D132,4,FALSE)*VLOOKUP(L13,P2:X17,9,FALSE),""))</f>
        <v>#DIV/0!</v>
      </c>
      <c r="M29" s="51" t="e">
        <f>IF(M27="Wins by 20+",(4+VLOOKUP(L13,P2:W17,8,FALSE))*VLOOKUP(M13,P20:X35,9,FALSE),IF(M27&gt;L27,(VLOOKUP(M27,'TL6-12 Tables'!A111:D132,4,FALSE)+VLOOKUP(L13,P2:W17,8,FALSE))*VLOOKUP(M13,P20:X35,9,FALSE),""))</f>
        <v>#DIV/0!</v>
      </c>
      <c r="P29" s="55" t="s">
        <v>390</v>
      </c>
      <c r="Q29" s="57">
        <f ca="1">IF(OR(M4&gt;0,M8&gt;0),1,0)</f>
        <v>0</v>
      </c>
      <c r="R29" s="27">
        <v>0</v>
      </c>
      <c r="S29" s="27">
        <v>0</v>
      </c>
      <c r="T29" s="26">
        <v>0.05</v>
      </c>
      <c r="U29" s="60">
        <v>0</v>
      </c>
      <c r="V29" s="60">
        <v>1</v>
      </c>
      <c r="W29" s="57">
        <v>1</v>
      </c>
      <c r="X29" s="57">
        <v>0</v>
      </c>
    </row>
    <row r="30" spans="1:24" x14ac:dyDescent="0.2">
      <c r="D30"/>
      <c r="H30" s="42"/>
      <c r="I30" s="42"/>
      <c r="J30" s="42"/>
      <c r="P30" s="55" t="s">
        <v>391</v>
      </c>
      <c r="Q30" s="57">
        <v>0</v>
      </c>
      <c r="R30" s="27">
        <v>0</v>
      </c>
      <c r="S30" s="27">
        <v>0</v>
      </c>
      <c r="T30" s="26">
        <v>0</v>
      </c>
      <c r="U30" s="60">
        <v>0</v>
      </c>
      <c r="V30" s="60">
        <v>1</v>
      </c>
      <c r="W30" s="58">
        <v>0</v>
      </c>
      <c r="X30" s="57">
        <v>1</v>
      </c>
    </row>
    <row r="31" spans="1:24" x14ac:dyDescent="0.2">
      <c r="D31"/>
      <c r="H31" s="42"/>
      <c r="I31" s="42"/>
      <c r="J31" s="42"/>
      <c r="P31" s="55" t="s">
        <v>392</v>
      </c>
      <c r="Q31" s="57">
        <v>-2</v>
      </c>
      <c r="R31" s="27">
        <v>0</v>
      </c>
      <c r="S31" s="27">
        <v>0</v>
      </c>
      <c r="T31" s="26">
        <v>0</v>
      </c>
      <c r="U31" s="60">
        <v>0</v>
      </c>
      <c r="V31" s="60">
        <v>1</v>
      </c>
      <c r="W31" s="58">
        <v>0</v>
      </c>
      <c r="X31" s="57">
        <v>1</v>
      </c>
    </row>
    <row r="32" spans="1:24" x14ac:dyDescent="0.2">
      <c r="D32"/>
      <c r="H32" s="42"/>
      <c r="I32" s="42"/>
      <c r="J32" s="42"/>
      <c r="P32" s="55" t="s">
        <v>393</v>
      </c>
      <c r="Q32" s="57">
        <v>3</v>
      </c>
      <c r="R32" s="27">
        <v>0</v>
      </c>
      <c r="S32" s="27">
        <v>0</v>
      </c>
      <c r="T32" s="26">
        <v>0</v>
      </c>
      <c r="U32" s="60">
        <v>0</v>
      </c>
      <c r="V32" s="60">
        <v>1</v>
      </c>
      <c r="W32" s="57">
        <v>-1</v>
      </c>
      <c r="X32" s="57">
        <v>1</v>
      </c>
    </row>
    <row r="33" spans="4:24" x14ac:dyDescent="0.2">
      <c r="D33"/>
      <c r="H33" s="42"/>
      <c r="I33" s="42"/>
      <c r="J33" s="42"/>
      <c r="P33" s="55" t="s">
        <v>394</v>
      </c>
      <c r="Q33" s="57">
        <v>8</v>
      </c>
      <c r="R33" s="27" t="e">
        <f>ABS(IF(M27="Wins by 20+",0.4,IF(L27="Wins by 20+",0,IF(L27&gt;M27,VLOOKUP(L27,'TL6-12 Tables'!A111:D132,3,FALSE),VLOOKUP(M27,'TL6-12 Tables'!A111:D132,2,FALSE)))))</f>
        <v>#DIV/0!</v>
      </c>
      <c r="S33" s="27" t="e">
        <f>ABS(IF(M27="Wins by 20+",0.4,IF(L27="Wins by 20+",0,IF(L27&gt;M27,VLOOKUP(L27,'TL6-12 Tables'!A111:D132,3,FALSE),VLOOKUP(M27,'TL6-12 Tables'!A111:D132,2,FALSE)))))</f>
        <v>#DIV/0!</v>
      </c>
      <c r="T33" s="27">
        <v>0.1</v>
      </c>
      <c r="U33" s="60">
        <v>0</v>
      </c>
      <c r="V33" s="60">
        <v>1</v>
      </c>
      <c r="W33" s="58">
        <v>0</v>
      </c>
      <c r="X33" s="57">
        <v>1</v>
      </c>
    </row>
    <row r="34" spans="4:24" x14ac:dyDescent="0.2">
      <c r="D34"/>
      <c r="H34" s="42"/>
      <c r="I34" s="42"/>
      <c r="J34" s="42"/>
      <c r="P34" s="55" t="s">
        <v>395</v>
      </c>
      <c r="Q34" s="57">
        <f ca="1">COUNTIF(M6,"&gt;0")+COUNTIF(M4,"&gt;0")+COUNTIF(M8,"&gt;0")+COUNTIF(M11,"&gt;0")</f>
        <v>0</v>
      </c>
      <c r="R34" s="27">
        <v>0</v>
      </c>
      <c r="S34" s="27">
        <v>0</v>
      </c>
      <c r="T34" s="26">
        <v>0</v>
      </c>
      <c r="U34" s="60">
        <v>0</v>
      </c>
      <c r="V34" s="60">
        <v>1</v>
      </c>
      <c r="W34" s="58">
        <v>0</v>
      </c>
      <c r="X34" s="57">
        <v>1</v>
      </c>
    </row>
    <row r="35" spans="4:24" x14ac:dyDescent="0.2">
      <c r="H35" s="42"/>
      <c r="I35" s="42"/>
      <c r="J35" s="42"/>
      <c r="P35" s="55" t="s">
        <v>396</v>
      </c>
      <c r="Q35" s="57">
        <f ca="1">IF(OR(M6&gt;0,M7&gt;0,M3&gt;0),3,2)</f>
        <v>2</v>
      </c>
      <c r="R35" s="27">
        <v>0</v>
      </c>
      <c r="S35" s="27">
        <v>0</v>
      </c>
      <c r="T35" s="26">
        <v>0.05</v>
      </c>
      <c r="U35" s="60">
        <v>0</v>
      </c>
      <c r="V35" s="57">
        <v>0.5</v>
      </c>
      <c r="W35" s="58">
        <v>0</v>
      </c>
      <c r="X35" s="57">
        <v>0</v>
      </c>
    </row>
  </sheetData>
  <mergeCells count="7">
    <mergeCell ref="H18:I18"/>
    <mergeCell ref="H19:I19"/>
    <mergeCell ref="H17:I17"/>
    <mergeCell ref="H15:I15"/>
    <mergeCell ref="H13:I13"/>
    <mergeCell ref="H14:I14"/>
    <mergeCell ref="H16:I16"/>
  </mergeCells>
  <phoneticPr fontId="1" type="noConversion"/>
  <dataValidations count="1">
    <dataValidation type="list" allowBlank="1" showInputMessage="1" showErrorMessage="1" sqref="L13:M13">
      <formula1>$P$2:$P$17</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30"/>
  <sheetViews>
    <sheetView workbookViewId="0">
      <selection activeCell="C20" sqref="C20"/>
    </sheetView>
  </sheetViews>
  <sheetFormatPr defaultColWidth="16.28515625" defaultRowHeight="12.75" x14ac:dyDescent="0.2"/>
  <cols>
    <col min="6" max="6" width="22.7109375" customWidth="1"/>
  </cols>
  <sheetData>
    <row r="1" spans="1:9" x14ac:dyDescent="0.2">
      <c r="A1" s="13" t="s">
        <v>8</v>
      </c>
      <c r="B1" s="13"/>
      <c r="C1" s="13"/>
      <c r="D1" s="13"/>
      <c r="F1" s="13" t="s">
        <v>167</v>
      </c>
    </row>
    <row r="2" spans="1:9" x14ac:dyDescent="0.2">
      <c r="A2" s="13" t="s">
        <v>132</v>
      </c>
      <c r="B2" s="13" t="s">
        <v>133</v>
      </c>
      <c r="C2" s="13" t="s">
        <v>5</v>
      </c>
      <c r="D2" s="13" t="s">
        <v>134</v>
      </c>
      <c r="F2" s="13" t="s">
        <v>132</v>
      </c>
      <c r="G2" s="13" t="s">
        <v>133</v>
      </c>
      <c r="H2" s="13" t="s">
        <v>5</v>
      </c>
      <c r="I2" s="13" t="s">
        <v>134</v>
      </c>
    </row>
    <row r="3" spans="1:9" x14ac:dyDescent="0.2">
      <c r="A3" s="12" t="s">
        <v>135</v>
      </c>
      <c r="B3" s="26">
        <v>1.5</v>
      </c>
      <c r="C3" s="26">
        <v>2</v>
      </c>
      <c r="D3" s="26">
        <v>1.5</v>
      </c>
      <c r="F3" s="12" t="s">
        <v>101</v>
      </c>
      <c r="G3" s="27">
        <v>0</v>
      </c>
      <c r="H3" s="26">
        <v>0</v>
      </c>
      <c r="I3" s="26">
        <v>0</v>
      </c>
    </row>
    <row r="4" spans="1:9" x14ac:dyDescent="0.2">
      <c r="A4" s="12" t="s">
        <v>136</v>
      </c>
      <c r="B4" s="26">
        <v>1</v>
      </c>
      <c r="C4" s="26">
        <v>1</v>
      </c>
      <c r="D4" s="26">
        <v>1</v>
      </c>
      <c r="F4" s="12" t="s">
        <v>168</v>
      </c>
      <c r="G4" s="27">
        <v>0</v>
      </c>
      <c r="H4" s="27">
        <v>0.2</v>
      </c>
      <c r="I4" s="27">
        <v>0.2</v>
      </c>
    </row>
    <row r="5" spans="1:9" x14ac:dyDescent="0.2">
      <c r="A5" s="12" t="s">
        <v>137</v>
      </c>
      <c r="B5" s="26">
        <v>0.5</v>
      </c>
      <c r="C5" s="26">
        <v>0.5</v>
      </c>
      <c r="D5" s="26">
        <v>0.5</v>
      </c>
      <c r="F5" s="12" t="s">
        <v>169</v>
      </c>
      <c r="G5" s="27">
        <v>0</v>
      </c>
      <c r="H5" s="27">
        <v>0.2</v>
      </c>
      <c r="I5" s="27">
        <v>0.2</v>
      </c>
    </row>
    <row r="6" spans="1:9" x14ac:dyDescent="0.2">
      <c r="A6" s="12" t="s">
        <v>138</v>
      </c>
      <c r="B6" s="26">
        <v>0</v>
      </c>
      <c r="C6" s="26">
        <v>0</v>
      </c>
      <c r="D6" s="26">
        <v>0</v>
      </c>
      <c r="F6" s="12" t="s">
        <v>170</v>
      </c>
      <c r="G6" s="27">
        <v>0</v>
      </c>
      <c r="H6" s="26">
        <v>0</v>
      </c>
      <c r="I6" s="26">
        <v>0</v>
      </c>
    </row>
    <row r="7" spans="1:9" x14ac:dyDescent="0.2">
      <c r="A7" s="12" t="s">
        <v>139</v>
      </c>
      <c r="B7" s="26">
        <v>-0.25</v>
      </c>
      <c r="C7" s="26">
        <v>-0.25</v>
      </c>
      <c r="D7" s="26">
        <v>-0.25</v>
      </c>
      <c r="F7" s="12" t="s">
        <v>171</v>
      </c>
      <c r="G7" s="27">
        <v>0</v>
      </c>
      <c r="H7" s="26">
        <v>0</v>
      </c>
      <c r="I7" s="26">
        <v>0</v>
      </c>
    </row>
    <row r="8" spans="1:9" x14ac:dyDescent="0.2">
      <c r="F8" s="12" t="s">
        <v>172</v>
      </c>
      <c r="G8" s="27">
        <v>0</v>
      </c>
      <c r="H8" s="26">
        <v>0</v>
      </c>
      <c r="I8" s="26">
        <v>0</v>
      </c>
    </row>
    <row r="9" spans="1:9" x14ac:dyDescent="0.2">
      <c r="F9" s="12" t="s">
        <v>173</v>
      </c>
      <c r="G9" s="27">
        <v>0</v>
      </c>
      <c r="H9" s="26">
        <v>0</v>
      </c>
      <c r="I9" s="26">
        <v>0</v>
      </c>
    </row>
    <row r="10" spans="1:9" x14ac:dyDescent="0.2">
      <c r="F10" s="12" t="s">
        <v>174</v>
      </c>
      <c r="G10" s="27">
        <v>0</v>
      </c>
      <c r="H10" s="26">
        <v>0.8</v>
      </c>
      <c r="I10" s="26">
        <v>0.8</v>
      </c>
    </row>
    <row r="11" spans="1:9" x14ac:dyDescent="0.2">
      <c r="A11" s="13" t="s">
        <v>9</v>
      </c>
      <c r="F11" s="12" t="s">
        <v>175</v>
      </c>
      <c r="G11" s="27">
        <v>0</v>
      </c>
      <c r="H11" s="26">
        <v>0</v>
      </c>
      <c r="I11" s="26">
        <v>0</v>
      </c>
    </row>
    <row r="12" spans="1:9" x14ac:dyDescent="0.2">
      <c r="A12" s="13" t="s">
        <v>132</v>
      </c>
      <c r="B12" s="13" t="s">
        <v>133</v>
      </c>
      <c r="C12" s="13" t="s">
        <v>5</v>
      </c>
      <c r="D12" s="13" t="s">
        <v>134</v>
      </c>
      <c r="F12" s="12" t="s">
        <v>176</v>
      </c>
      <c r="G12" s="27">
        <v>0</v>
      </c>
      <c r="H12" s="26">
        <v>0</v>
      </c>
      <c r="I12" s="26">
        <v>0</v>
      </c>
    </row>
    <row r="13" spans="1:9" x14ac:dyDescent="0.2">
      <c r="A13" s="12" t="s">
        <v>140</v>
      </c>
      <c r="B13" s="26">
        <v>1</v>
      </c>
      <c r="C13" s="26">
        <v>2</v>
      </c>
      <c r="D13" s="26">
        <v>0.4</v>
      </c>
      <c r="F13" s="12" t="s">
        <v>177</v>
      </c>
      <c r="G13" s="27">
        <v>0</v>
      </c>
      <c r="H13" s="26">
        <v>0.2</v>
      </c>
      <c r="I13" s="26">
        <v>0.2</v>
      </c>
    </row>
    <row r="14" spans="1:9" x14ac:dyDescent="0.2">
      <c r="A14" s="12" t="s">
        <v>137</v>
      </c>
      <c r="B14" s="26">
        <v>0.5</v>
      </c>
      <c r="C14" s="26">
        <v>1</v>
      </c>
      <c r="D14" s="26">
        <v>0.2</v>
      </c>
      <c r="F14" s="12" t="s">
        <v>178</v>
      </c>
      <c r="G14" s="27">
        <v>0</v>
      </c>
      <c r="H14" s="26">
        <v>0</v>
      </c>
      <c r="I14" s="26">
        <v>0.5</v>
      </c>
    </row>
    <row r="15" spans="1:9" x14ac:dyDescent="0.2">
      <c r="A15" s="12" t="s">
        <v>141</v>
      </c>
      <c r="B15" s="26">
        <v>0</v>
      </c>
      <c r="C15" s="26">
        <v>0</v>
      </c>
      <c r="D15" s="26">
        <v>0</v>
      </c>
      <c r="F15" s="12" t="s">
        <v>24</v>
      </c>
      <c r="G15" s="27">
        <v>0</v>
      </c>
      <c r="H15" s="26">
        <v>0.2</v>
      </c>
      <c r="I15" s="26">
        <v>0.2</v>
      </c>
    </row>
    <row r="16" spans="1:9" x14ac:dyDescent="0.2">
      <c r="A16" s="12" t="s">
        <v>142</v>
      </c>
      <c r="B16" s="26">
        <v>-0.5</v>
      </c>
      <c r="C16" s="26">
        <v>-0.5</v>
      </c>
      <c r="D16" s="26">
        <v>-0.5</v>
      </c>
      <c r="F16" s="12" t="s">
        <v>179</v>
      </c>
      <c r="G16" s="27">
        <v>0</v>
      </c>
      <c r="H16" s="26">
        <v>0.2</v>
      </c>
      <c r="I16" s="26">
        <v>0.2</v>
      </c>
    </row>
    <row r="17" spans="1:9" x14ac:dyDescent="0.2">
      <c r="A17" s="69" t="s">
        <v>171</v>
      </c>
      <c r="B17" s="69"/>
      <c r="C17" s="69"/>
      <c r="D17" s="69"/>
      <c r="F17" s="12" t="s">
        <v>180</v>
      </c>
      <c r="G17" s="27">
        <v>0</v>
      </c>
      <c r="H17" s="26">
        <v>0.2</v>
      </c>
      <c r="I17" s="26">
        <v>0.2</v>
      </c>
    </row>
    <row r="18" spans="1:9" x14ac:dyDescent="0.2">
      <c r="A18" s="12" t="s">
        <v>140</v>
      </c>
      <c r="B18" s="26"/>
      <c r="C18" s="26">
        <v>1</v>
      </c>
      <c r="D18" s="26"/>
      <c r="F18" s="12" t="s">
        <v>89</v>
      </c>
      <c r="G18" s="27">
        <v>0</v>
      </c>
      <c r="H18" s="26">
        <v>0.2</v>
      </c>
      <c r="I18" s="26">
        <v>0.2</v>
      </c>
    </row>
    <row r="19" spans="1:9" x14ac:dyDescent="0.2">
      <c r="A19" s="12" t="s">
        <v>137</v>
      </c>
      <c r="B19" s="26"/>
      <c r="C19" s="26">
        <v>0.5</v>
      </c>
      <c r="D19" s="26"/>
      <c r="F19" s="12" t="s">
        <v>181</v>
      </c>
      <c r="G19" s="27">
        <v>0</v>
      </c>
      <c r="H19" s="26">
        <v>0.2</v>
      </c>
      <c r="I19" s="26">
        <v>0.2</v>
      </c>
    </row>
    <row r="20" spans="1:9" x14ac:dyDescent="0.2">
      <c r="F20" s="12" t="s">
        <v>182</v>
      </c>
      <c r="G20" s="27">
        <v>0</v>
      </c>
      <c r="H20" s="26">
        <v>0.2</v>
      </c>
      <c r="I20" s="26">
        <v>0.2</v>
      </c>
    </row>
    <row r="21" spans="1:9" x14ac:dyDescent="0.2">
      <c r="A21" s="13" t="s">
        <v>143</v>
      </c>
      <c r="F21" s="12" t="s">
        <v>183</v>
      </c>
      <c r="G21" s="27">
        <v>0</v>
      </c>
      <c r="H21" s="26">
        <v>0</v>
      </c>
      <c r="I21" s="26">
        <v>0</v>
      </c>
    </row>
    <row r="22" spans="1:9" x14ac:dyDescent="0.2">
      <c r="A22">
        <v>6</v>
      </c>
      <c r="F22" s="12" t="s">
        <v>184</v>
      </c>
      <c r="G22" s="27">
        <v>0</v>
      </c>
      <c r="H22" s="26">
        <v>0.2</v>
      </c>
      <c r="I22" s="26">
        <v>0.2</v>
      </c>
    </row>
    <row r="23" spans="1:9" x14ac:dyDescent="0.2">
      <c r="A23">
        <v>7</v>
      </c>
      <c r="F23" s="12" t="s">
        <v>185</v>
      </c>
      <c r="G23" s="27">
        <v>0</v>
      </c>
      <c r="H23" s="26">
        <v>0.2</v>
      </c>
      <c r="I23" s="26">
        <v>0.2</v>
      </c>
    </row>
    <row r="24" spans="1:9" x14ac:dyDescent="0.2">
      <c r="A24">
        <v>8</v>
      </c>
      <c r="F24" s="12" t="s">
        <v>186</v>
      </c>
      <c r="G24" s="26">
        <v>1</v>
      </c>
      <c r="H24" s="26">
        <v>1</v>
      </c>
      <c r="I24" s="26">
        <v>1</v>
      </c>
    </row>
    <row r="25" spans="1:9" x14ac:dyDescent="0.2">
      <c r="A25">
        <v>9</v>
      </c>
      <c r="F25" s="12" t="s">
        <v>187</v>
      </c>
      <c r="G25" s="26">
        <v>0</v>
      </c>
      <c r="H25" s="26">
        <v>0.2</v>
      </c>
      <c r="I25" s="26">
        <v>0</v>
      </c>
    </row>
    <row r="26" spans="1:9" x14ac:dyDescent="0.2">
      <c r="A26">
        <v>10</v>
      </c>
      <c r="F26" s="12" t="s">
        <v>188</v>
      </c>
      <c r="G26" s="26">
        <v>0</v>
      </c>
      <c r="H26" s="26">
        <v>0.2</v>
      </c>
      <c r="I26" s="26">
        <v>0</v>
      </c>
    </row>
    <row r="27" spans="1:9" x14ac:dyDescent="0.2">
      <c r="F27" s="12" t="s">
        <v>189</v>
      </c>
      <c r="G27" s="26">
        <v>0</v>
      </c>
      <c r="H27" s="26">
        <v>0.2</v>
      </c>
      <c r="I27" s="26">
        <v>0</v>
      </c>
    </row>
    <row r="28" spans="1:9" x14ac:dyDescent="0.2">
      <c r="F28" s="12" t="s">
        <v>190</v>
      </c>
      <c r="G28" s="26">
        <v>0</v>
      </c>
      <c r="H28" s="26">
        <v>0.2</v>
      </c>
      <c r="I28" s="26">
        <v>0</v>
      </c>
    </row>
    <row r="29" spans="1:9" x14ac:dyDescent="0.2">
      <c r="F29" s="12" t="s">
        <v>192</v>
      </c>
      <c r="G29" s="26">
        <v>0</v>
      </c>
      <c r="H29" s="26">
        <v>0.2</v>
      </c>
      <c r="I29" s="26">
        <v>0</v>
      </c>
    </row>
    <row r="30" spans="1:9" x14ac:dyDescent="0.2">
      <c r="F30" s="12" t="s">
        <v>191</v>
      </c>
      <c r="G30" s="26">
        <v>0</v>
      </c>
      <c r="H30" s="26">
        <v>0.2</v>
      </c>
      <c r="I30" s="26">
        <v>0</v>
      </c>
    </row>
  </sheetData>
  <mergeCells count="1">
    <mergeCell ref="A17:D17"/>
  </mergeCells>
  <phoneticPr fontId="1"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L140"/>
  <sheetViews>
    <sheetView topLeftCell="A7" zoomScale="80" zoomScaleNormal="80" workbookViewId="0">
      <selection activeCell="M9" sqref="M9"/>
    </sheetView>
  </sheetViews>
  <sheetFormatPr defaultRowHeight="12.75" x14ac:dyDescent="0.2"/>
  <cols>
    <col min="1" max="1" width="13.85546875" style="64" customWidth="1"/>
    <col min="2" max="2" width="23.42578125" style="5" customWidth="1"/>
    <col min="3" max="3" width="15.42578125" style="2" bestFit="1" customWidth="1"/>
    <col min="4" max="4" width="12.7109375" style="2" hidden="1" customWidth="1"/>
    <col min="5" max="5" width="17.28515625" style="62" hidden="1" customWidth="1"/>
    <col min="6" max="6" width="17" style="2" bestFit="1" customWidth="1"/>
    <col min="7" max="7" width="7.42578125" style="2" customWidth="1"/>
    <col min="8" max="8" width="8.42578125" style="2" customWidth="1"/>
    <col min="9" max="9" width="13.5703125" style="16" customWidth="1"/>
    <col min="10" max="10" width="12" style="16" customWidth="1"/>
    <col min="11" max="11" width="8.140625" style="2" customWidth="1"/>
    <col min="12" max="12" width="7.85546875" style="2" hidden="1" customWidth="1"/>
    <col min="13" max="13" width="11.140625" style="2" customWidth="1"/>
    <col min="14" max="14" width="19.5703125" style="2" customWidth="1"/>
    <col min="15" max="15" width="18" style="2" bestFit="1" customWidth="1"/>
    <col min="16" max="16" width="13.85546875" style="2" hidden="1" customWidth="1"/>
    <col min="17" max="18" width="16.42578125" style="2" hidden="1" customWidth="1"/>
    <col min="19" max="19" width="13.42578125" style="2" bestFit="1" customWidth="1"/>
    <col min="20" max="20" width="14" style="2" hidden="1" customWidth="1"/>
    <col min="21" max="22" width="16.5703125" style="2" hidden="1" customWidth="1"/>
    <col min="23" max="23" width="15.5703125" style="2" customWidth="1"/>
    <col min="24" max="26" width="13.7109375" style="2" hidden="1" customWidth="1"/>
    <col min="27" max="27" width="15.5703125" style="2" customWidth="1"/>
    <col min="28" max="30" width="13.7109375" style="2" hidden="1" customWidth="1"/>
    <col min="31" max="31" width="15.5703125" style="2" customWidth="1"/>
    <col min="32" max="34" width="13.7109375" style="2" hidden="1" customWidth="1"/>
    <col min="35" max="35" width="15.5703125" style="2" customWidth="1"/>
    <col min="36" max="38" width="13.7109375" style="2" hidden="1" customWidth="1"/>
    <col min="39" max="16384" width="9.140625" style="2"/>
  </cols>
  <sheetData>
    <row r="1" spans="1:38" x14ac:dyDescent="0.2">
      <c r="B1" s="23" t="s">
        <v>209</v>
      </c>
      <c r="C1" s="10" t="s">
        <v>417</v>
      </c>
    </row>
    <row r="2" spans="1:38" x14ac:dyDescent="0.2">
      <c r="B2" s="3" t="s">
        <v>0</v>
      </c>
      <c r="C2" s="1" t="s">
        <v>1</v>
      </c>
      <c r="D2" s="1" t="s">
        <v>56</v>
      </c>
      <c r="E2" s="67" t="s">
        <v>414</v>
      </c>
      <c r="F2" s="1" t="s">
        <v>2</v>
      </c>
      <c r="G2" s="1" t="s">
        <v>3</v>
      </c>
      <c r="H2" s="1" t="s">
        <v>4</v>
      </c>
      <c r="I2" s="15" t="s">
        <v>5</v>
      </c>
      <c r="J2" s="15" t="s">
        <v>6</v>
      </c>
      <c r="K2" s="1" t="s">
        <v>7</v>
      </c>
      <c r="L2" s="1" t="s">
        <v>16</v>
      </c>
      <c r="M2" s="1" t="s">
        <v>156</v>
      </c>
      <c r="N2" s="1" t="s">
        <v>155</v>
      </c>
      <c r="O2" s="1" t="s">
        <v>8</v>
      </c>
      <c r="P2" s="1" t="s">
        <v>12</v>
      </c>
      <c r="Q2" s="1" t="s">
        <v>10</v>
      </c>
      <c r="R2" s="1" t="s">
        <v>11</v>
      </c>
      <c r="S2" s="1" t="s">
        <v>9</v>
      </c>
      <c r="T2" s="1" t="s">
        <v>13</v>
      </c>
      <c r="U2" s="1" t="s">
        <v>14</v>
      </c>
      <c r="V2" s="1" t="s">
        <v>15</v>
      </c>
      <c r="W2" s="1" t="s">
        <v>193</v>
      </c>
      <c r="X2" s="10" t="s">
        <v>195</v>
      </c>
      <c r="Y2" s="10" t="s">
        <v>196</v>
      </c>
      <c r="Z2" s="10" t="s">
        <v>197</v>
      </c>
      <c r="AA2" s="1" t="s">
        <v>194</v>
      </c>
      <c r="AB2" s="10" t="s">
        <v>198</v>
      </c>
      <c r="AC2" s="10" t="s">
        <v>199</v>
      </c>
      <c r="AD2" s="10" t="s">
        <v>200</v>
      </c>
      <c r="AE2" s="1" t="s">
        <v>201</v>
      </c>
      <c r="AF2" s="10" t="s">
        <v>202</v>
      </c>
      <c r="AG2" s="10" t="s">
        <v>203</v>
      </c>
      <c r="AH2" s="10" t="s">
        <v>204</v>
      </c>
      <c r="AI2" s="1" t="s">
        <v>205</v>
      </c>
      <c r="AJ2" s="10" t="s">
        <v>206</v>
      </c>
      <c r="AK2" s="10" t="s">
        <v>207</v>
      </c>
      <c r="AL2" s="10" t="s">
        <v>208</v>
      </c>
    </row>
    <row r="3" spans="1:38" x14ac:dyDescent="0.2">
      <c r="A3" s="64" t="s">
        <v>419</v>
      </c>
      <c r="B3" s="5" t="s">
        <v>17</v>
      </c>
      <c r="C3" s="43">
        <f>((((VLOOKUP($B3,'TL6-12 Elements'!$A$2:$I$67,2,FALSE))*L3)*M3)*(1+P3+T3+X3+AB3+AF3+AJ3))*N3</f>
        <v>80</v>
      </c>
      <c r="D3" s="43">
        <f>VLOOKUP($B3,'TL6-12 Elements'!$A$2:$I$67,3,FALSE)</f>
        <v>0</v>
      </c>
      <c r="E3" s="43">
        <f>IF(AND(COUNTIF(F3:F3,"*C3I*"),D3=1),C3*-0.1,0)</f>
        <v>0</v>
      </c>
      <c r="F3" s="43" t="str">
        <f>VLOOKUP($B3,'TL6-12 Elements'!$A$2:$I$67,4,FALSE)</f>
        <v>F, Rec</v>
      </c>
      <c r="G3" s="43">
        <f>VLOOKUP($B3,'TL6-12 Elements'!$A$2:$I$67,5,FALSE)</f>
        <v>1</v>
      </c>
      <c r="H3" s="43" t="str">
        <f>VLOOKUP($B3,'TL6-12 Elements'!$A$2:$I$67,6,FALSE)</f>
        <v>Foot</v>
      </c>
      <c r="I3" s="45">
        <f>(((VLOOKUP($B3,'TL6-12 Elements'!$A$2:$I$67,7,FALSE))*M3)*(1+Q3+U3+Y3+AC3+AG3+AK3))*N3</f>
        <v>60000</v>
      </c>
      <c r="J3" s="45">
        <f>(((VLOOKUP($B3,'TL6-12 Elements'!$A$2:$I$67,8,FALSE))*M3)*(1+R3+V3+Z3+AD3+AH3+AL3))*N3</f>
        <v>12000</v>
      </c>
      <c r="K3" s="10">
        <v>7</v>
      </c>
      <c r="L3" s="10">
        <f>IF(VLOOKUP($B3,'TL6-12 Elements'!$A$2:$I$67,9,FALSE)-$K3=0,1,IF(VLOOKUP($B3,'TL6-12 Elements'!$A$2:$I$67,9,FALSE)-$K3=-1,2,IF(VLOOKUP($B3,'TL6-12 Elements'!$A$2:$I$67,9,FALSE)-$K3=-2,4,IF(VLOOKUP($B3,'TL6-12 Elements'!$A$2:$I$67,9,FALSE)-$K3=-3,8,IF(VLOOKUP($B3,'TL6-12 Elements'!$A$2:$I$67,9,FALSE)-$K3=-4,16,"Invalid")))))</f>
        <v>2</v>
      </c>
      <c r="M3" s="10">
        <v>2</v>
      </c>
      <c r="N3" s="44">
        <v>1</v>
      </c>
      <c r="O3" s="2" t="s">
        <v>138</v>
      </c>
      <c r="P3" s="2">
        <f>VLOOKUP($O3,'Equipment &amp; Troop Q'!$A$3:$D$7,2,FALSE)</f>
        <v>0</v>
      </c>
      <c r="Q3" s="2">
        <f>VLOOKUP($O3,'Equipment &amp; Troop Q'!$A$3:$D$7,3,FALSE)</f>
        <v>0</v>
      </c>
      <c r="R3" s="2">
        <f>VLOOKUP($O3,'Equipment &amp; Troop Q'!$A$3:$D$7,4,FALSE)</f>
        <v>0</v>
      </c>
      <c r="S3" s="2" t="s">
        <v>142</v>
      </c>
      <c r="T3" s="2">
        <f>VLOOKUP($S3,'Equipment &amp; Troop Q'!$A$13:$D$16,2,FALSE)</f>
        <v>-0.5</v>
      </c>
      <c r="U3" s="2">
        <f>IF(OR(W3="Fanatic",AA3="Fanatic",AE3="Fanatic",AI3="Fanatic"),VLOOKUP($S3,'Equipment &amp; Troop Q'!$A$18:$D$19,3,FALSE),VLOOKUP($S3,'Equipment &amp; Troop Q'!$A$13:$D$16,3,FALSE))</f>
        <v>-0.5</v>
      </c>
      <c r="V3" s="2">
        <f>VLOOKUP($S3,'Equipment &amp; Troop Q'!$A$13:$D$16,4,FALSE)</f>
        <v>-0.5</v>
      </c>
      <c r="W3" s="62" t="s">
        <v>101</v>
      </c>
      <c r="X3" s="2">
        <f>VLOOKUP($W3,'Equipment &amp; Troop Q'!$F$3:$I$30,2,FALSE)</f>
        <v>0</v>
      </c>
      <c r="Y3" s="2">
        <f>VLOOKUP($W3,'Equipment &amp; Troop Q'!$F$3:$I$30,3,FALSE)</f>
        <v>0</v>
      </c>
      <c r="Z3" s="2">
        <f>VLOOKUP($W3,'Equipment &amp; Troop Q'!$F$3:$I$30,4,FALSE)</f>
        <v>0</v>
      </c>
      <c r="AA3" s="2" t="s">
        <v>101</v>
      </c>
      <c r="AB3" s="2">
        <f>VLOOKUP($AA3,'Equipment &amp; Troop Q'!$F$3:$I$30,2,FALSE)</f>
        <v>0</v>
      </c>
      <c r="AC3" s="2">
        <f>VLOOKUP($AA3,'Equipment &amp; Troop Q'!$F$3:$I$30,3,FALSE)</f>
        <v>0</v>
      </c>
      <c r="AD3" s="2">
        <f>VLOOKUP($AA3,'Equipment &amp; Troop Q'!$F$3:$I$30,4,FALSE)</f>
        <v>0</v>
      </c>
      <c r="AE3" s="2" t="s">
        <v>101</v>
      </c>
      <c r="AF3" s="2">
        <f>VLOOKUP($AE3,'Equipment &amp; Troop Q'!$F$3:$I$30,2,FALSE)</f>
        <v>0</v>
      </c>
      <c r="AG3" s="2">
        <f>VLOOKUP($AE3,'Equipment &amp; Troop Q'!$F$3:$I$30,3,FALSE)</f>
        <v>0</v>
      </c>
      <c r="AH3" s="2">
        <f>VLOOKUP($AE3,'Equipment &amp; Troop Q'!$F$3:$I$30,4,FALSE)</f>
        <v>0</v>
      </c>
      <c r="AI3" s="2" t="s">
        <v>101</v>
      </c>
      <c r="AJ3" s="2">
        <f>VLOOKUP($AI3,'Equipment &amp; Troop Q'!$F$3:$I$30,2,FALSE)</f>
        <v>0</v>
      </c>
      <c r="AK3" s="2">
        <f>VLOOKUP($AI3,'Equipment &amp; Troop Q'!$F$3:$I$30,3,FALSE)</f>
        <v>0</v>
      </c>
      <c r="AL3" s="2">
        <f>VLOOKUP($AI3,'Equipment &amp; Troop Q'!$F$3:$I$30,4,FALSE)</f>
        <v>0</v>
      </c>
    </row>
    <row r="4" spans="1:38" x14ac:dyDescent="0.2">
      <c r="A4" s="64" t="s">
        <v>422</v>
      </c>
      <c r="B4" s="5" t="s">
        <v>17</v>
      </c>
      <c r="C4" s="43">
        <f>((((VLOOKUP($B4,'TL6-12 Elements'!$A$2:$I$67,2,FALSE))*L4)*M4)*(1+P4+T4+X4+AB4+AF4+AJ4))*N4</f>
        <v>80</v>
      </c>
      <c r="D4" s="43">
        <f>VLOOKUP($B4,'TL6-12 Elements'!$A$2:$I$67,3,FALSE)</f>
        <v>0</v>
      </c>
      <c r="E4" s="43">
        <f>IF(AND(COUNTIF(F4:F4,"*C3I*"),D4=1),C4*-0.1,0)</f>
        <v>0</v>
      </c>
      <c r="F4" s="43" t="str">
        <f>VLOOKUP($B4,'TL6-12 Elements'!$A$2:$I$67,4,FALSE)</f>
        <v>F, Rec</v>
      </c>
      <c r="G4" s="43">
        <f>VLOOKUP($B4,'TL6-12 Elements'!$A$2:$I$67,5,FALSE)</f>
        <v>1</v>
      </c>
      <c r="H4" s="43" t="str">
        <f>VLOOKUP($B4,'TL6-12 Elements'!$A$2:$I$67,6,FALSE)</f>
        <v>Foot</v>
      </c>
      <c r="I4" s="45">
        <f>(((VLOOKUP($B4,'TL6-12 Elements'!$A$2:$I$67,7,FALSE))*M4)*(1+Q4+U4+Y4+AC4+AG4+AK4))*N4</f>
        <v>60000</v>
      </c>
      <c r="J4" s="45">
        <f>(((VLOOKUP($B4,'TL6-12 Elements'!$A$2:$I$67,8,FALSE))*M4)*(1+R4+V4+Z4+AD4+AH4+AL4))*N4</f>
        <v>12000</v>
      </c>
      <c r="K4" s="61">
        <v>7</v>
      </c>
      <c r="L4" s="10">
        <f>IF(VLOOKUP($B4,'TL6-12 Elements'!$A$2:$I$67,9,FALSE)-$K4=0,1,IF(VLOOKUP($B4,'TL6-12 Elements'!$A$2:$I$67,9,FALSE)-$K4=-1,2,IF(VLOOKUP($B4,'TL6-12 Elements'!$A$2:$I$67,9,FALSE)-$K4=-2,4,IF(VLOOKUP($B4,'TL6-12 Elements'!$A$2:$I$67,9,FALSE)-$K4=-3,8,IF(VLOOKUP($B4,'TL6-12 Elements'!$A$2:$I$67,9,FALSE)-$K4=-4,16,"Invalid")))))</f>
        <v>2</v>
      </c>
      <c r="M4" s="10">
        <v>1</v>
      </c>
      <c r="N4" s="44">
        <v>1</v>
      </c>
      <c r="O4" s="62" t="s">
        <v>138</v>
      </c>
      <c r="P4" s="62">
        <f>VLOOKUP($O4,'Equipment &amp; Troop Q'!$A$3:$D$7,2,FALSE)</f>
        <v>0</v>
      </c>
      <c r="Q4" s="62">
        <f>VLOOKUP($O4,'Equipment &amp; Troop Q'!$A$3:$D$7,3,FALSE)</f>
        <v>0</v>
      </c>
      <c r="R4" s="62">
        <f>VLOOKUP($O4,'Equipment &amp; Troop Q'!$A$3:$D$7,4,FALSE)</f>
        <v>0</v>
      </c>
      <c r="S4" s="62" t="s">
        <v>141</v>
      </c>
      <c r="T4" s="2">
        <f>VLOOKUP($S4,'Equipment &amp; Troop Q'!$A$13:$D$16,2,FALSE)</f>
        <v>0</v>
      </c>
      <c r="U4" s="2">
        <f>IF(OR(W4="Fanatic",AA4="Fanatic",AE4="Fanatic",AI4="Fanatic"),VLOOKUP($S4,'Equipment &amp; Troop Q'!$A$18:$D$19,3,FALSE),VLOOKUP($S4,'Equipment &amp; Troop Q'!$A$13:$D$16,3,FALSE))</f>
        <v>0</v>
      </c>
      <c r="V4" s="2">
        <f>VLOOKUP($S4,'Equipment &amp; Troop Q'!$A$13:$D$16,4,FALSE)</f>
        <v>0</v>
      </c>
      <c r="W4" s="62" t="s">
        <v>101</v>
      </c>
      <c r="X4" s="2">
        <f>VLOOKUP($W4,'Equipment &amp; Troop Q'!$F$3:$I$30,2,FALSE)</f>
        <v>0</v>
      </c>
      <c r="Y4" s="2">
        <f>VLOOKUP($W4,'Equipment &amp; Troop Q'!$F$3:$I$30,3,FALSE)</f>
        <v>0</v>
      </c>
      <c r="Z4" s="2">
        <f>VLOOKUP($W4,'Equipment &amp; Troop Q'!$F$3:$I$30,4,FALSE)</f>
        <v>0</v>
      </c>
      <c r="AA4" s="2" t="s">
        <v>101</v>
      </c>
      <c r="AB4" s="2">
        <f>VLOOKUP($AA4,'Equipment &amp; Troop Q'!$F$3:$I$30,2,FALSE)</f>
        <v>0</v>
      </c>
      <c r="AC4" s="2">
        <f>VLOOKUP($AA4,'Equipment &amp; Troop Q'!$F$3:$I$30,3,FALSE)</f>
        <v>0</v>
      </c>
      <c r="AD4" s="2">
        <f>VLOOKUP($AA4,'Equipment &amp; Troop Q'!$F$3:$I$30,4,FALSE)</f>
        <v>0</v>
      </c>
      <c r="AE4" s="2" t="s">
        <v>101</v>
      </c>
      <c r="AF4" s="2">
        <f>VLOOKUP($AE4,'Equipment &amp; Troop Q'!$F$3:$I$30,2,FALSE)</f>
        <v>0</v>
      </c>
      <c r="AG4" s="2">
        <f>VLOOKUP($AE4,'Equipment &amp; Troop Q'!$F$3:$I$30,3,FALSE)</f>
        <v>0</v>
      </c>
      <c r="AH4" s="2">
        <f>VLOOKUP($AE4,'Equipment &amp; Troop Q'!$F$3:$I$30,4,FALSE)</f>
        <v>0</v>
      </c>
      <c r="AI4" s="2" t="s">
        <v>101</v>
      </c>
      <c r="AJ4" s="2">
        <f>VLOOKUP($AI4,'Equipment &amp; Troop Q'!$F$3:$I$30,2,FALSE)</f>
        <v>0</v>
      </c>
      <c r="AK4" s="2">
        <f>VLOOKUP($AI4,'Equipment &amp; Troop Q'!$F$3:$I$30,3,FALSE)</f>
        <v>0</v>
      </c>
      <c r="AL4" s="2">
        <f>VLOOKUP($AI4,'Equipment &amp; Troop Q'!$F$3:$I$30,4,FALSE)</f>
        <v>0</v>
      </c>
    </row>
    <row r="5" spans="1:38" x14ac:dyDescent="0.2">
      <c r="A5" s="64" t="s">
        <v>427</v>
      </c>
      <c r="B5" s="5" t="s">
        <v>17</v>
      </c>
      <c r="C5" s="43">
        <f>((((VLOOKUP($B5,'TL6-12 Elements'!$A$2:$I$67,2,FALSE))*L5)*M5)*(1+P5+T5+X5+AB5+AF5+AJ5))*N5</f>
        <v>0</v>
      </c>
      <c r="D5" s="43">
        <f>VLOOKUP($B5,'TL6-12 Elements'!$A$2:$I$67,3,FALSE)</f>
        <v>0</v>
      </c>
      <c r="E5" s="43">
        <f>IF(AND(COUNTIF(F5:F5,"*C3I*"),D5=1),C5*-0.1,0)</f>
        <v>0</v>
      </c>
      <c r="F5" s="43" t="str">
        <f>VLOOKUP($B5,'TL6-12 Elements'!$A$2:$I$67,4,FALSE)</f>
        <v>F, Rec</v>
      </c>
      <c r="G5" s="43">
        <f>VLOOKUP($B5,'TL6-12 Elements'!$A$2:$I$67,5,FALSE)</f>
        <v>1</v>
      </c>
      <c r="H5" s="43" t="str">
        <f>VLOOKUP($B5,'TL6-12 Elements'!$A$2:$I$67,6,FALSE)</f>
        <v>Foot</v>
      </c>
      <c r="I5" s="45">
        <f>(((VLOOKUP($B5,'TL6-12 Elements'!$A$2:$I$67,7,FALSE))*M5)*(1+Q5+U5+Y5+AC5+AG5+AK5))*N5</f>
        <v>0</v>
      </c>
      <c r="J5" s="45">
        <f>(((VLOOKUP($B5,'TL6-12 Elements'!$A$2:$I$67,8,FALSE))*M5)*(1+R5+V5+Z5+AD5+AH5+AL5))*N5</f>
        <v>0</v>
      </c>
      <c r="K5" s="61">
        <v>7</v>
      </c>
      <c r="L5" s="10">
        <f>IF(VLOOKUP($B5,'TL6-12 Elements'!$A$2:$I$67,9,FALSE)-$K5=0,1,IF(VLOOKUP($B5,'TL6-12 Elements'!$A$2:$I$67,9,FALSE)-$K5=-1,2,IF(VLOOKUP($B5,'TL6-12 Elements'!$A$2:$I$67,9,FALSE)-$K5=-2,4,IF(VLOOKUP($B5,'TL6-12 Elements'!$A$2:$I$67,9,FALSE)-$K5=-3,8,IF(VLOOKUP($B5,'TL6-12 Elements'!$A$2:$I$67,9,FALSE)-$K5=-4,16,"Invalid")))))</f>
        <v>2</v>
      </c>
      <c r="M5" s="10">
        <v>0</v>
      </c>
      <c r="N5" s="44">
        <v>1</v>
      </c>
      <c r="O5" s="62" t="s">
        <v>137</v>
      </c>
      <c r="P5" s="62">
        <f>VLOOKUP($O5,'Equipment &amp; Troop Q'!$A$3:$D$7,2,FALSE)</f>
        <v>0.5</v>
      </c>
      <c r="Q5" s="62">
        <f>VLOOKUP($O5,'Equipment &amp; Troop Q'!$A$3:$D$7,3,FALSE)</f>
        <v>0.5</v>
      </c>
      <c r="R5" s="62">
        <f>VLOOKUP($O5,'Equipment &amp; Troop Q'!$A$3:$D$7,4,FALSE)</f>
        <v>0.5</v>
      </c>
      <c r="S5" s="62" t="s">
        <v>137</v>
      </c>
      <c r="T5" s="2">
        <f>VLOOKUP($S5,'Equipment &amp; Troop Q'!$A$13:$D$16,2,FALSE)</f>
        <v>0.5</v>
      </c>
      <c r="U5" s="2">
        <f>IF(OR(W5="Fanatic",AA5="Fanatic",AE5="Fanatic",AI5="Fanatic"),VLOOKUP($S5,'Equipment &amp; Troop Q'!$A$18:$D$19,3,FALSE),VLOOKUP($S5,'Equipment &amp; Troop Q'!$A$13:$D$16,3,FALSE))</f>
        <v>1</v>
      </c>
      <c r="V5" s="2">
        <f>VLOOKUP($S5,'Equipment &amp; Troop Q'!$A$13:$D$16,4,FALSE)</f>
        <v>0.2</v>
      </c>
      <c r="W5" s="62" t="s">
        <v>101</v>
      </c>
      <c r="X5" s="2">
        <f>VLOOKUP($W5,'Equipment &amp; Troop Q'!$F$3:$I$30,2,FALSE)</f>
        <v>0</v>
      </c>
      <c r="Y5" s="2">
        <f>VLOOKUP($W5,'Equipment &amp; Troop Q'!$F$3:$I$30,3,FALSE)</f>
        <v>0</v>
      </c>
      <c r="Z5" s="2">
        <f>VLOOKUP($W5,'Equipment &amp; Troop Q'!$F$3:$I$30,4,FALSE)</f>
        <v>0</v>
      </c>
      <c r="AA5" s="2" t="s">
        <v>101</v>
      </c>
      <c r="AB5" s="2">
        <f>VLOOKUP($AA5,'Equipment &amp; Troop Q'!$F$3:$I$30,2,FALSE)</f>
        <v>0</v>
      </c>
      <c r="AC5" s="2">
        <f>VLOOKUP($AA5,'Equipment &amp; Troop Q'!$F$3:$I$30,3,FALSE)</f>
        <v>0</v>
      </c>
      <c r="AD5" s="2">
        <f>VLOOKUP($AA5,'Equipment &amp; Troop Q'!$F$3:$I$30,4,FALSE)</f>
        <v>0</v>
      </c>
      <c r="AE5" s="2" t="s">
        <v>101</v>
      </c>
      <c r="AF5" s="2">
        <f>VLOOKUP($AE5,'Equipment &amp; Troop Q'!$F$3:$I$30,2,FALSE)</f>
        <v>0</v>
      </c>
      <c r="AG5" s="2">
        <f>VLOOKUP($AE5,'Equipment &amp; Troop Q'!$F$3:$I$30,3,FALSE)</f>
        <v>0</v>
      </c>
      <c r="AH5" s="2">
        <f>VLOOKUP($AE5,'Equipment &amp; Troop Q'!$F$3:$I$30,4,FALSE)</f>
        <v>0</v>
      </c>
      <c r="AI5" s="2" t="s">
        <v>101</v>
      </c>
      <c r="AJ5" s="2">
        <f>VLOOKUP($AI5,'Equipment &amp; Troop Q'!$F$3:$I$30,2,FALSE)</f>
        <v>0</v>
      </c>
      <c r="AK5" s="2">
        <f>VLOOKUP($AI5,'Equipment &amp; Troop Q'!$F$3:$I$30,3,FALSE)</f>
        <v>0</v>
      </c>
      <c r="AL5" s="2">
        <f>VLOOKUP($AI5,'Equipment &amp; Troop Q'!$F$3:$I$30,4,FALSE)</f>
        <v>0</v>
      </c>
    </row>
    <row r="6" spans="1:38" x14ac:dyDescent="0.2">
      <c r="A6" s="64" t="s">
        <v>423</v>
      </c>
      <c r="B6" s="5" t="s">
        <v>17</v>
      </c>
      <c r="C6" s="43">
        <f>((((VLOOKUP($B6,'TL6-12 Elements'!$A$2:$I$67,2,FALSE))*L6)*M6)*(1+P6+T6+X6+AB6+AF6+AJ6))*N6</f>
        <v>0</v>
      </c>
      <c r="D6" s="43">
        <f>VLOOKUP($B6,'TL6-12 Elements'!$A$2:$I$67,3,FALSE)</f>
        <v>0</v>
      </c>
      <c r="E6" s="43">
        <f>IF(AND(COUNTIF(F6:F6,"*C3I*"),D6=1),C6*-0.1,0)</f>
        <v>0</v>
      </c>
      <c r="F6" s="43" t="str">
        <f>VLOOKUP($B6,'TL6-12 Elements'!$A$2:$I$67,4,FALSE)</f>
        <v>F, Rec</v>
      </c>
      <c r="G6" s="43">
        <f>VLOOKUP($B6,'TL6-12 Elements'!$A$2:$I$67,5,FALSE)</f>
        <v>1</v>
      </c>
      <c r="H6" s="43" t="str">
        <f>VLOOKUP($B6,'TL6-12 Elements'!$A$2:$I$67,6,FALSE)</f>
        <v>Foot</v>
      </c>
      <c r="I6" s="45">
        <f>(((VLOOKUP($B6,'TL6-12 Elements'!$A$2:$I$67,7,FALSE))*M6)*(1+Q6+U6+Y6+AC6+AG6+AK6))*N6</f>
        <v>0</v>
      </c>
      <c r="J6" s="45">
        <f>(((VLOOKUP($B6,'TL6-12 Elements'!$A$2:$I$67,8,FALSE))*M6)*(1+R6+V6+Z6+AD6+AH6+AL6))*N6</f>
        <v>0</v>
      </c>
      <c r="K6" s="61">
        <v>8</v>
      </c>
      <c r="L6" s="10">
        <f>IF(VLOOKUP($B6,'TL6-12 Elements'!$A$2:$I$67,9,FALSE)-$K6=0,1,IF(VLOOKUP($B6,'TL6-12 Elements'!$A$2:$I$67,9,FALSE)-$K6=-1,2,IF(VLOOKUP($B6,'TL6-12 Elements'!$A$2:$I$67,9,FALSE)-$K6=-2,4,IF(VLOOKUP($B6,'TL6-12 Elements'!$A$2:$I$67,9,FALSE)-$K6=-3,8,IF(VLOOKUP($B6,'TL6-12 Elements'!$A$2:$I$67,9,FALSE)-$K6=-4,16,"Invalid")))))</f>
        <v>4</v>
      </c>
      <c r="M6" s="10">
        <v>0</v>
      </c>
      <c r="N6" s="44">
        <v>1</v>
      </c>
      <c r="O6" s="62" t="s">
        <v>135</v>
      </c>
      <c r="P6" s="62">
        <f>VLOOKUP($O6,'Equipment &amp; Troop Q'!$A$3:$D$7,2,FALSE)</f>
        <v>1.5</v>
      </c>
      <c r="Q6" s="62">
        <f>VLOOKUP($O6,'Equipment &amp; Troop Q'!$A$3:$D$7,3,FALSE)</f>
        <v>2</v>
      </c>
      <c r="R6" s="62">
        <f>VLOOKUP($O6,'Equipment &amp; Troop Q'!$A$3:$D$7,4,FALSE)</f>
        <v>1.5</v>
      </c>
      <c r="S6" s="62" t="s">
        <v>140</v>
      </c>
      <c r="T6" s="2">
        <f>VLOOKUP($S6,'Equipment &amp; Troop Q'!$A$13:$D$16,2,FALSE)</f>
        <v>1</v>
      </c>
      <c r="U6" s="2">
        <f>IF(OR(W6="Fanatic",AA6="Fanatic",AE6="Fanatic",AI6="Fanatic"),VLOOKUP($S6,'Equipment &amp; Troop Q'!$A$18:$D$19,3,FALSE),VLOOKUP($S6,'Equipment &amp; Troop Q'!$A$13:$D$16,3,FALSE))</f>
        <v>2</v>
      </c>
      <c r="V6" s="2">
        <f>VLOOKUP($S6,'Equipment &amp; Troop Q'!$A$13:$D$16,4,FALSE)</f>
        <v>0.4</v>
      </c>
      <c r="W6" s="62" t="s">
        <v>182</v>
      </c>
      <c r="X6" s="2">
        <f>VLOOKUP($W6,'Equipment &amp; Troop Q'!$F$3:$I$30,2,FALSE)</f>
        <v>0</v>
      </c>
      <c r="Y6" s="2">
        <f>VLOOKUP($W6,'Equipment &amp; Troop Q'!$F$3:$I$30,3,FALSE)</f>
        <v>0.2</v>
      </c>
      <c r="Z6" s="2">
        <f>VLOOKUP($W6,'Equipment &amp; Troop Q'!$F$3:$I$30,4,FALSE)</f>
        <v>0.2</v>
      </c>
      <c r="AA6" s="2" t="s">
        <v>101</v>
      </c>
      <c r="AB6" s="2">
        <f>VLOOKUP($AA6,'Equipment &amp; Troop Q'!$F$3:$I$30,2,FALSE)</f>
        <v>0</v>
      </c>
      <c r="AC6" s="2">
        <f>VLOOKUP($AA6,'Equipment &amp; Troop Q'!$F$3:$I$30,3,FALSE)</f>
        <v>0</v>
      </c>
      <c r="AD6" s="2">
        <f>VLOOKUP($AA6,'Equipment &amp; Troop Q'!$F$3:$I$30,4,FALSE)</f>
        <v>0</v>
      </c>
      <c r="AE6" s="2" t="s">
        <v>101</v>
      </c>
      <c r="AF6" s="2">
        <f>VLOOKUP($AE6,'Equipment &amp; Troop Q'!$F$3:$I$30,2,FALSE)</f>
        <v>0</v>
      </c>
      <c r="AG6" s="2">
        <f>VLOOKUP($AE6,'Equipment &amp; Troop Q'!$F$3:$I$30,3,FALSE)</f>
        <v>0</v>
      </c>
      <c r="AH6" s="2">
        <f>VLOOKUP($AE6,'Equipment &amp; Troop Q'!$F$3:$I$30,4,FALSE)</f>
        <v>0</v>
      </c>
      <c r="AI6" s="2" t="s">
        <v>101</v>
      </c>
      <c r="AJ6" s="2">
        <f>VLOOKUP($AI6,'Equipment &amp; Troop Q'!$F$3:$I$30,2,FALSE)</f>
        <v>0</v>
      </c>
      <c r="AK6" s="2">
        <f>VLOOKUP($AI6,'Equipment &amp; Troop Q'!$F$3:$I$30,3,FALSE)</f>
        <v>0</v>
      </c>
      <c r="AL6" s="2">
        <f>VLOOKUP($AI6,'Equipment &amp; Troop Q'!$F$3:$I$30,4,FALSE)</f>
        <v>0</v>
      </c>
    </row>
    <row r="7" spans="1:38" x14ac:dyDescent="0.2">
      <c r="B7" s="5" t="s">
        <v>59</v>
      </c>
      <c r="C7" s="43">
        <f>((((VLOOKUP($B7,'TL6-12 Elements'!$A$2:$I$67,2,FALSE))*L7)*M7)*(1+P7+T7+X7+AB7+AF7+AJ7))*N7</f>
        <v>60</v>
      </c>
      <c r="D7" s="43">
        <f>VLOOKUP($B7,'TL6-12 Elements'!$A$2:$I$67,3,FALSE)</f>
        <v>0</v>
      </c>
      <c r="E7" s="43">
        <f t="shared" ref="E7:E31" si="0">IF(AND(COUNTIF(F7:F7,"*C3I*"),D7=1),C7*-0.1,0)</f>
        <v>0</v>
      </c>
      <c r="F7" s="43" t="str">
        <f>VLOOKUP($B7,'TL6-12 Elements'!$A$2:$I$67,4,FALSE)</f>
        <v>Cv, T1</v>
      </c>
      <c r="G7" s="43">
        <f>VLOOKUP($B7,'TL6-12 Elements'!$A$2:$I$67,5,FALSE)</f>
        <v>2</v>
      </c>
      <c r="H7" s="43" t="str">
        <f>VLOOKUP($B7,'TL6-12 Elements'!$A$2:$I$67,6,FALSE)</f>
        <v>Motor</v>
      </c>
      <c r="I7" s="45">
        <f>(((VLOOKUP($B7,'TL6-12 Elements'!$A$2:$I$67,7,FALSE))*M7)*(1+Q7+U7+Y7+AC7+AG7+AK7))*N7</f>
        <v>75000</v>
      </c>
      <c r="J7" s="45">
        <f>(((VLOOKUP($B7,'TL6-12 Elements'!$A$2:$I$67,8,FALSE))*M7)*(1+R7+V7+Z7+AD7+AH7+AL7))*N7</f>
        <v>7500</v>
      </c>
      <c r="K7" s="61">
        <v>7</v>
      </c>
      <c r="L7" s="10">
        <f>IF(VLOOKUP($B7,'TL6-12 Elements'!$A$2:$I$67,9,FALSE)-$K7=0,1,IF(VLOOKUP($B7,'TL6-12 Elements'!$A$2:$I$67,9,FALSE)-$K7=-1,2,IF(VLOOKUP($B7,'TL6-12 Elements'!$A$2:$I$67,9,FALSE)-$K7=-2,4,IF(VLOOKUP($B7,'TL6-12 Elements'!$A$2:$I$67,9,FALSE)-$K7=-3,8,IF(VLOOKUP($B7,'TL6-12 Elements'!$A$2:$I$67,9,FALSE)-$K7=-4,16,"Invalid")))))</f>
        <v>2</v>
      </c>
      <c r="M7" s="10">
        <v>3</v>
      </c>
      <c r="N7" s="44">
        <v>1</v>
      </c>
      <c r="O7" s="62" t="s">
        <v>138</v>
      </c>
      <c r="P7" s="62">
        <f>VLOOKUP($O7,'Equipment &amp; Troop Q'!$A$3:$D$7,2,FALSE)</f>
        <v>0</v>
      </c>
      <c r="Q7" s="62">
        <f>VLOOKUP($O7,'Equipment &amp; Troop Q'!$A$3:$D$7,3,FALSE)</f>
        <v>0</v>
      </c>
      <c r="R7" s="62">
        <f>VLOOKUP($O7,'Equipment &amp; Troop Q'!$A$3:$D$7,4,FALSE)</f>
        <v>0</v>
      </c>
      <c r="S7" s="62" t="s">
        <v>141</v>
      </c>
      <c r="T7" s="2">
        <f>VLOOKUP($S7,'Equipment &amp; Troop Q'!$A$13:$D$16,2,FALSE)</f>
        <v>0</v>
      </c>
      <c r="U7" s="2">
        <f>IF(OR(W7="Fanatic",AA7="Fanatic",AE7="Fanatic",AI7="Fanatic"),VLOOKUP($S7,'Equipment &amp; Troop Q'!$A$18:$D$19,3,FALSE),VLOOKUP($S7,'Equipment &amp; Troop Q'!$A$13:$D$16,3,FALSE))</f>
        <v>0</v>
      </c>
      <c r="V7" s="2">
        <f>VLOOKUP($S7,'Equipment &amp; Troop Q'!$A$13:$D$16,4,FALSE)</f>
        <v>0</v>
      </c>
      <c r="W7" s="62" t="s">
        <v>101</v>
      </c>
      <c r="X7" s="2">
        <f>VLOOKUP($W7,'Equipment &amp; Troop Q'!$F$3:$I$30,2,FALSE)</f>
        <v>0</v>
      </c>
      <c r="Y7" s="2">
        <f>VLOOKUP($W7,'Equipment &amp; Troop Q'!$F$3:$I$30,3,FALSE)</f>
        <v>0</v>
      </c>
      <c r="Z7" s="2">
        <f>VLOOKUP($W7,'Equipment &amp; Troop Q'!$F$3:$I$30,4,FALSE)</f>
        <v>0</v>
      </c>
      <c r="AA7" s="2" t="s">
        <v>101</v>
      </c>
      <c r="AB7" s="2">
        <f>VLOOKUP($AA7,'Equipment &amp; Troop Q'!$F$3:$I$30,2,FALSE)</f>
        <v>0</v>
      </c>
      <c r="AC7" s="2">
        <f>VLOOKUP($AA7,'Equipment &amp; Troop Q'!$F$3:$I$30,3,FALSE)</f>
        <v>0</v>
      </c>
      <c r="AD7" s="2">
        <f>VLOOKUP($AA7,'Equipment &amp; Troop Q'!$F$3:$I$30,4,FALSE)</f>
        <v>0</v>
      </c>
      <c r="AE7" s="2" t="s">
        <v>101</v>
      </c>
      <c r="AF7" s="2">
        <f>VLOOKUP($AE7,'Equipment &amp; Troop Q'!$F$3:$I$30,2,FALSE)</f>
        <v>0</v>
      </c>
      <c r="AG7" s="2">
        <f>VLOOKUP($AE7,'Equipment &amp; Troop Q'!$F$3:$I$30,3,FALSE)</f>
        <v>0</v>
      </c>
      <c r="AH7" s="2">
        <f>VLOOKUP($AE7,'Equipment &amp; Troop Q'!$F$3:$I$30,4,FALSE)</f>
        <v>0</v>
      </c>
      <c r="AI7" s="2" t="s">
        <v>101</v>
      </c>
      <c r="AJ7" s="2">
        <f>VLOOKUP($AI7,'Equipment &amp; Troop Q'!$F$3:$I$30,2,FALSE)</f>
        <v>0</v>
      </c>
      <c r="AK7" s="2">
        <f>VLOOKUP($AI7,'Equipment &amp; Troop Q'!$F$3:$I$30,3,FALSE)</f>
        <v>0</v>
      </c>
      <c r="AL7" s="2">
        <f>VLOOKUP($AI7,'Equipment &amp; Troop Q'!$F$3:$I$30,4,FALSE)</f>
        <v>0</v>
      </c>
    </row>
    <row r="8" spans="1:38" x14ac:dyDescent="0.2">
      <c r="B8" s="5" t="s">
        <v>39</v>
      </c>
      <c r="C8" s="43">
        <f>((((VLOOKUP($B8,'TL6-12 Elements'!$A$2:$I$67,2,FALSE))*L8)*M8)*(1+P8+T8+X8+AB8+AF8+AJ8))*N8</f>
        <v>0</v>
      </c>
      <c r="D8" s="43">
        <f>VLOOKUP($B8,'TL6-12 Elements'!$A$2:$I$67,3,FALSE)</f>
        <v>1</v>
      </c>
      <c r="E8" s="43">
        <f t="shared" si="0"/>
        <v>0</v>
      </c>
      <c r="F8" s="43" t="str">
        <f>VLOOKUP($B8,'TL6-12 Elements'!$A$2:$I$67,4,FALSE)</f>
        <v>C3I</v>
      </c>
      <c r="G8" s="43">
        <f>VLOOKUP($B8,'TL6-12 Elements'!$A$2:$I$67,5,FALSE)</f>
        <v>1</v>
      </c>
      <c r="H8" s="43">
        <f>VLOOKUP($B8,'TL6-12 Elements'!$A$2:$I$67,6,FALSE)</f>
        <v>0</v>
      </c>
      <c r="I8" s="45">
        <f>(((VLOOKUP($B8,'TL6-12 Elements'!$A$2:$I$67,7,FALSE))*M8)*(1+Q8+U8+Y8+AC8+AG8+AK8))*N8</f>
        <v>0</v>
      </c>
      <c r="J8" s="45">
        <f>(((VLOOKUP($B8,'TL6-12 Elements'!$A$2:$I$67,8,FALSE))*M8)*(1+R8+V8+Z8+AD8+AH8+AL8))*N8</f>
        <v>0</v>
      </c>
      <c r="K8" s="61">
        <v>7</v>
      </c>
      <c r="L8" s="10">
        <f>IF(VLOOKUP($B8,'TL6-12 Elements'!$A$2:$I$67,9,FALSE)-$K8=0,1,IF(VLOOKUP($B8,'TL6-12 Elements'!$A$2:$I$67,9,FALSE)-$K8=-1,2,IF(VLOOKUP($B8,'TL6-12 Elements'!$A$2:$I$67,9,FALSE)-$K8=-2,4,IF(VLOOKUP($B8,'TL6-12 Elements'!$A$2:$I$67,9,FALSE)-$K8=-3,8,IF(VLOOKUP($B8,'TL6-12 Elements'!$A$2:$I$67,9,FALSE)-$K8=-4,16,"Invalid")))))</f>
        <v>2</v>
      </c>
      <c r="M8" s="10">
        <v>0</v>
      </c>
      <c r="N8" s="44">
        <v>1</v>
      </c>
      <c r="O8" s="62" t="s">
        <v>138</v>
      </c>
      <c r="P8" s="62">
        <f>VLOOKUP($O8,'Equipment &amp; Troop Q'!$A$3:$D$7,2,FALSE)</f>
        <v>0</v>
      </c>
      <c r="Q8" s="62">
        <f>VLOOKUP($O8,'Equipment &amp; Troop Q'!$A$3:$D$7,3,FALSE)</f>
        <v>0</v>
      </c>
      <c r="R8" s="62">
        <f>VLOOKUP($O8,'Equipment &amp; Troop Q'!$A$3:$D$7,4,FALSE)</f>
        <v>0</v>
      </c>
      <c r="S8" s="62" t="s">
        <v>141</v>
      </c>
      <c r="T8" s="2">
        <f>VLOOKUP($S8,'Equipment &amp; Troop Q'!$A$13:$D$16,2,FALSE)</f>
        <v>0</v>
      </c>
      <c r="U8" s="2">
        <f>IF(OR(W8="Fanatic",AA8="Fanatic",AE8="Fanatic",AI8="Fanatic"),VLOOKUP($S8,'Equipment &amp; Troop Q'!$A$18:$D$19,3,FALSE),VLOOKUP($S8,'Equipment &amp; Troop Q'!$A$13:$D$16,3,FALSE))</f>
        <v>0</v>
      </c>
      <c r="V8" s="2">
        <f>VLOOKUP($S8,'Equipment &amp; Troop Q'!$A$13:$D$16,4,FALSE)</f>
        <v>0</v>
      </c>
      <c r="W8" s="62" t="s">
        <v>101</v>
      </c>
      <c r="X8" s="2">
        <f>VLOOKUP($W8,'Equipment &amp; Troop Q'!$F$3:$I$30,2,FALSE)</f>
        <v>0</v>
      </c>
      <c r="Y8" s="2">
        <f>VLOOKUP($W8,'Equipment &amp; Troop Q'!$F$3:$I$30,3,FALSE)</f>
        <v>0</v>
      </c>
      <c r="Z8" s="2">
        <f>VLOOKUP($W8,'Equipment &amp; Troop Q'!$F$3:$I$30,4,FALSE)</f>
        <v>0</v>
      </c>
      <c r="AA8" s="2" t="s">
        <v>101</v>
      </c>
      <c r="AB8" s="2">
        <f>VLOOKUP($AA8,'Equipment &amp; Troop Q'!$F$3:$I$30,2,FALSE)</f>
        <v>0</v>
      </c>
      <c r="AC8" s="2">
        <f>VLOOKUP($AA8,'Equipment &amp; Troop Q'!$F$3:$I$30,3,FALSE)</f>
        <v>0</v>
      </c>
      <c r="AD8" s="2">
        <f>VLOOKUP($AA8,'Equipment &amp; Troop Q'!$F$3:$I$30,4,FALSE)</f>
        <v>0</v>
      </c>
      <c r="AE8" s="2" t="s">
        <v>101</v>
      </c>
      <c r="AF8" s="2">
        <f>VLOOKUP($AE8,'Equipment &amp; Troop Q'!$F$3:$I$30,2,FALSE)</f>
        <v>0</v>
      </c>
      <c r="AG8" s="2">
        <f>VLOOKUP($AE8,'Equipment &amp; Troop Q'!$F$3:$I$30,3,FALSE)</f>
        <v>0</v>
      </c>
      <c r="AH8" s="2">
        <f>VLOOKUP($AE8,'Equipment &amp; Troop Q'!$F$3:$I$30,4,FALSE)</f>
        <v>0</v>
      </c>
      <c r="AI8" s="2" t="s">
        <v>101</v>
      </c>
      <c r="AJ8" s="2">
        <f>VLOOKUP($AI8,'Equipment &amp; Troop Q'!$F$3:$I$30,2,FALSE)</f>
        <v>0</v>
      </c>
      <c r="AK8" s="2">
        <f>VLOOKUP($AI8,'Equipment &amp; Troop Q'!$F$3:$I$30,3,FALSE)</f>
        <v>0</v>
      </c>
      <c r="AL8" s="2">
        <f>VLOOKUP($AI8,'Equipment &amp; Troop Q'!$F$3:$I$30,4,FALSE)</f>
        <v>0</v>
      </c>
    </row>
    <row r="9" spans="1:38" x14ac:dyDescent="0.2">
      <c r="B9" s="5" t="s">
        <v>101</v>
      </c>
      <c r="C9" s="43">
        <f>((((VLOOKUP($B9,'TL6-12 Elements'!$A$2:$I$67,2,FALSE))*L9)*M9)*(1+P9+T9+X9+AB9+AF9+AJ9))*N9</f>
        <v>0</v>
      </c>
      <c r="D9" s="43" t="str">
        <f>VLOOKUP($B9,'TL6-12 Elements'!$A$2:$I$67,3,FALSE)</f>
        <v>-</v>
      </c>
      <c r="E9" s="43">
        <f t="shared" si="0"/>
        <v>0</v>
      </c>
      <c r="F9" s="43" t="str">
        <f>VLOOKUP($B9,'TL6-12 Elements'!$A$2:$I$67,4,FALSE)</f>
        <v>-</v>
      </c>
      <c r="G9" s="43" t="str">
        <f>VLOOKUP($B9,'TL6-12 Elements'!$A$2:$I$67,5,FALSE)</f>
        <v>-</v>
      </c>
      <c r="H9" s="43" t="str">
        <f>VLOOKUP($B9,'TL6-12 Elements'!$A$2:$I$67,6,FALSE)</f>
        <v>-</v>
      </c>
      <c r="I9" s="45">
        <f>(((VLOOKUP($B9,'TL6-12 Elements'!$A$2:$I$67,7,FALSE))*M9)*(1+Q9+U9+Y9+AC9+AG9+AK9))*N9</f>
        <v>0</v>
      </c>
      <c r="J9" s="45">
        <f>(((VLOOKUP($B9,'TL6-12 Elements'!$A$2:$I$67,8,FALSE))*M9)*(1+R9+V9+Z9+AD9+AH9+AL9))*N9</f>
        <v>0</v>
      </c>
      <c r="K9" s="61">
        <v>7</v>
      </c>
      <c r="L9" s="10">
        <f>IF(VLOOKUP($B9,'TL6-12 Elements'!$A$2:$I$67,9,FALSE)-$K9=0,1,IF(VLOOKUP($B9,'TL6-12 Elements'!$A$2:$I$67,9,FALSE)-$K9=-1,2,IF(VLOOKUP($B9,'TL6-12 Elements'!$A$2:$I$67,9,FALSE)-$K9=-2,4,IF(VLOOKUP($B9,'TL6-12 Elements'!$A$2:$I$67,9,FALSE)-$K9=-3,8,IF(VLOOKUP($B9,'TL6-12 Elements'!$A$2:$I$67,9,FALSE)-$K9=-4,16,"Invalid")))))</f>
        <v>2</v>
      </c>
      <c r="M9" s="10">
        <v>1</v>
      </c>
      <c r="N9" s="44">
        <v>1</v>
      </c>
      <c r="O9" s="62" t="s">
        <v>138</v>
      </c>
      <c r="P9" s="62">
        <f>VLOOKUP($O9,'Equipment &amp; Troop Q'!$A$3:$D$7,2,FALSE)</f>
        <v>0</v>
      </c>
      <c r="Q9" s="62">
        <f>VLOOKUP($O9,'Equipment &amp; Troop Q'!$A$3:$D$7,3,FALSE)</f>
        <v>0</v>
      </c>
      <c r="R9" s="62">
        <f>VLOOKUP($O9,'Equipment &amp; Troop Q'!$A$3:$D$7,4,FALSE)</f>
        <v>0</v>
      </c>
      <c r="S9" s="62" t="s">
        <v>141</v>
      </c>
      <c r="T9" s="2">
        <f>VLOOKUP($S9,'Equipment &amp; Troop Q'!$A$13:$D$16,2,FALSE)</f>
        <v>0</v>
      </c>
      <c r="U9" s="2">
        <f>IF(OR(W9="Fanatic",AA9="Fanatic",AE9="Fanatic",AI9="Fanatic"),VLOOKUP($S9,'Equipment &amp; Troop Q'!$A$18:$D$19,3,FALSE),VLOOKUP($S9,'Equipment &amp; Troop Q'!$A$13:$D$16,3,FALSE))</f>
        <v>0</v>
      </c>
      <c r="V9" s="2">
        <f>VLOOKUP($S9,'Equipment &amp; Troop Q'!$A$13:$D$16,4,FALSE)</f>
        <v>0</v>
      </c>
      <c r="W9" s="2" t="s">
        <v>101</v>
      </c>
      <c r="X9" s="2">
        <f>VLOOKUP($W9,'Equipment &amp; Troop Q'!$F$3:$I$30,2,FALSE)</f>
        <v>0</v>
      </c>
      <c r="Y9" s="2">
        <f>VLOOKUP($W9,'Equipment &amp; Troop Q'!$F$3:$I$30,3,FALSE)</f>
        <v>0</v>
      </c>
      <c r="Z9" s="2">
        <f>VLOOKUP($W9,'Equipment &amp; Troop Q'!$F$3:$I$30,4,FALSE)</f>
        <v>0</v>
      </c>
      <c r="AA9" s="2" t="s">
        <v>101</v>
      </c>
      <c r="AB9" s="2">
        <f>VLOOKUP($AA9,'Equipment &amp; Troop Q'!$F$3:$I$30,2,FALSE)</f>
        <v>0</v>
      </c>
      <c r="AC9" s="2">
        <f>VLOOKUP($AA9,'Equipment &amp; Troop Q'!$F$3:$I$30,3,FALSE)</f>
        <v>0</v>
      </c>
      <c r="AD9" s="2">
        <f>VLOOKUP($AA9,'Equipment &amp; Troop Q'!$F$3:$I$30,4,FALSE)</f>
        <v>0</v>
      </c>
      <c r="AE9" s="2" t="s">
        <v>101</v>
      </c>
      <c r="AF9" s="2">
        <f>VLOOKUP($AE9,'Equipment &amp; Troop Q'!$F$3:$I$30,2,FALSE)</f>
        <v>0</v>
      </c>
      <c r="AG9" s="2">
        <f>VLOOKUP($AE9,'Equipment &amp; Troop Q'!$F$3:$I$30,3,FALSE)</f>
        <v>0</v>
      </c>
      <c r="AH9" s="2">
        <f>VLOOKUP($AE9,'Equipment &amp; Troop Q'!$F$3:$I$30,4,FALSE)</f>
        <v>0</v>
      </c>
      <c r="AI9" s="2" t="s">
        <v>101</v>
      </c>
      <c r="AJ9" s="2">
        <f>VLOOKUP($AI9,'Equipment &amp; Troop Q'!$F$3:$I$30,2,FALSE)</f>
        <v>0</v>
      </c>
      <c r="AK9" s="2">
        <f>VLOOKUP($AI9,'Equipment &amp; Troop Q'!$F$3:$I$30,3,FALSE)</f>
        <v>0</v>
      </c>
      <c r="AL9" s="2">
        <f>VLOOKUP($AI9,'Equipment &amp; Troop Q'!$F$3:$I$30,4,FALSE)</f>
        <v>0</v>
      </c>
    </row>
    <row r="10" spans="1:38" x14ac:dyDescent="0.2">
      <c r="B10" s="5" t="s">
        <v>101</v>
      </c>
      <c r="C10" s="43">
        <f>((((VLOOKUP($B10,'TL6-12 Elements'!$A$2:$I$67,2,FALSE))*L10)*M10)*(1+P10+T10+X10+AB10+AF10+AJ10))*N10</f>
        <v>0</v>
      </c>
      <c r="D10" s="43" t="str">
        <f>VLOOKUP($B10,'TL6-12 Elements'!$A$2:$I$67,3,FALSE)</f>
        <v>-</v>
      </c>
      <c r="E10" s="43">
        <f t="shared" si="0"/>
        <v>0</v>
      </c>
      <c r="F10" s="43" t="str">
        <f>VLOOKUP($B10,'TL6-12 Elements'!$A$2:$I$67,4,FALSE)</f>
        <v>-</v>
      </c>
      <c r="G10" s="43" t="str">
        <f>VLOOKUP($B10,'TL6-12 Elements'!$A$2:$I$67,5,FALSE)</f>
        <v>-</v>
      </c>
      <c r="H10" s="43" t="str">
        <f>VLOOKUP($B10,'TL6-12 Elements'!$A$2:$I$67,6,FALSE)</f>
        <v>-</v>
      </c>
      <c r="I10" s="45">
        <f>(((VLOOKUP($B10,'TL6-12 Elements'!$A$2:$I$67,7,FALSE))*M10)*(1+Q10+U10+Y10+AC10+AG10+AK10))*N10</f>
        <v>0</v>
      </c>
      <c r="J10" s="45">
        <f>(((VLOOKUP($B10,'TL6-12 Elements'!$A$2:$I$67,8,FALSE))*M10)*(1+R10+V10+Z10+AD10+AH10+AL10))*N10</f>
        <v>0</v>
      </c>
      <c r="K10" s="10">
        <v>7</v>
      </c>
      <c r="L10" s="10">
        <f>IF(VLOOKUP($B10,'TL6-12 Elements'!$A$2:$I$67,9,FALSE)-$K10=0,1,IF(VLOOKUP($B10,'TL6-12 Elements'!$A$2:$I$67,9,FALSE)-$K10=-1,2,IF(VLOOKUP($B10,'TL6-12 Elements'!$A$2:$I$67,9,FALSE)-$K10=-2,4,IF(VLOOKUP($B10,'TL6-12 Elements'!$A$2:$I$67,9,FALSE)-$K10=-3,8,IF(VLOOKUP($B10,'TL6-12 Elements'!$A$2:$I$67,9,FALSE)-$K10=-4,16,"Invalid")))))</f>
        <v>2</v>
      </c>
      <c r="M10" s="10">
        <v>1</v>
      </c>
      <c r="N10" s="44">
        <v>1</v>
      </c>
      <c r="O10" s="2" t="s">
        <v>138</v>
      </c>
      <c r="P10" s="2">
        <f>VLOOKUP(O10,'Equipment &amp; Troop Q'!$A$3:$D$7,2,FALSE)</f>
        <v>0</v>
      </c>
      <c r="Q10" s="2">
        <f>VLOOKUP($O10,'Equipment &amp; Troop Q'!$A$3:$D$7,3,FALSE)</f>
        <v>0</v>
      </c>
      <c r="R10" s="2">
        <f>VLOOKUP($O10,'Equipment &amp; Troop Q'!$A$3:$D$7,4,FALSE)</f>
        <v>0</v>
      </c>
      <c r="S10" s="2" t="s">
        <v>141</v>
      </c>
      <c r="T10" s="2">
        <f>VLOOKUP($S10,'Equipment &amp; Troop Q'!$A$13:$D$16,2,FALSE)</f>
        <v>0</v>
      </c>
      <c r="U10" s="2">
        <f>IF(OR(W10="Fanatic",AA10="Fanatic",AE10="Fanatic",AI10="Fanatic"),VLOOKUP($S10,'Equipment &amp; Troop Q'!$A$18:$D$19,3,FALSE),VLOOKUP($S10,'Equipment &amp; Troop Q'!$A$13:$D$16,3,FALSE))</f>
        <v>0</v>
      </c>
      <c r="V10" s="2">
        <f>VLOOKUP($S10,'Equipment &amp; Troop Q'!$A$13:$D$16,4,FALSE)</f>
        <v>0</v>
      </c>
      <c r="W10" s="2" t="s">
        <v>101</v>
      </c>
      <c r="X10" s="2">
        <f>VLOOKUP($W10,'Equipment &amp; Troop Q'!$F$3:$I$30,2,FALSE)</f>
        <v>0</v>
      </c>
      <c r="Y10" s="2">
        <f>VLOOKUP($W10,'Equipment &amp; Troop Q'!$F$3:$I$30,3,FALSE)</f>
        <v>0</v>
      </c>
      <c r="Z10" s="2">
        <f>VLOOKUP($W10,'Equipment &amp; Troop Q'!$F$3:$I$30,4,FALSE)</f>
        <v>0</v>
      </c>
      <c r="AA10" s="2" t="s">
        <v>101</v>
      </c>
      <c r="AB10" s="2">
        <f>VLOOKUP($AA10,'Equipment &amp; Troop Q'!$F$3:$I$30,2,FALSE)</f>
        <v>0</v>
      </c>
      <c r="AC10" s="2">
        <f>VLOOKUP($AA10,'Equipment &amp; Troop Q'!$F$3:$I$30,3,FALSE)</f>
        <v>0</v>
      </c>
      <c r="AD10" s="2">
        <f>VLOOKUP($AA10,'Equipment &amp; Troop Q'!$F$3:$I$30,4,FALSE)</f>
        <v>0</v>
      </c>
      <c r="AE10" s="2" t="s">
        <v>101</v>
      </c>
      <c r="AF10" s="2">
        <f>VLOOKUP($AE10,'Equipment &amp; Troop Q'!$F$3:$I$30,2,FALSE)</f>
        <v>0</v>
      </c>
      <c r="AG10" s="2">
        <f>VLOOKUP($AE10,'Equipment &amp; Troop Q'!$F$3:$I$30,3,FALSE)</f>
        <v>0</v>
      </c>
      <c r="AH10" s="2">
        <f>VLOOKUP($AE10,'Equipment &amp; Troop Q'!$F$3:$I$30,4,FALSE)</f>
        <v>0</v>
      </c>
      <c r="AI10" s="2" t="s">
        <v>101</v>
      </c>
      <c r="AJ10" s="2">
        <f>VLOOKUP($AI10,'Equipment &amp; Troop Q'!$F$3:$I$30,2,FALSE)</f>
        <v>0</v>
      </c>
      <c r="AK10" s="2">
        <f>VLOOKUP($AI10,'Equipment &amp; Troop Q'!$F$3:$I$30,3,FALSE)</f>
        <v>0</v>
      </c>
      <c r="AL10" s="2">
        <f>VLOOKUP($AI10,'Equipment &amp; Troop Q'!$F$3:$I$30,4,FALSE)</f>
        <v>0</v>
      </c>
    </row>
    <row r="11" spans="1:38" x14ac:dyDescent="0.2">
      <c r="B11" s="5" t="s">
        <v>101</v>
      </c>
      <c r="C11" s="43">
        <f>((((VLOOKUP($B11,'TL6-12 Elements'!$A$2:$I$67,2,FALSE))*L11)*M11)*(1+P11+T11+X11+AB11+AF11+AJ11))*N11</f>
        <v>0</v>
      </c>
      <c r="D11" s="43" t="str">
        <f>VLOOKUP($B11,'TL6-12 Elements'!$A$2:$I$67,3,FALSE)</f>
        <v>-</v>
      </c>
      <c r="E11" s="43">
        <f t="shared" si="0"/>
        <v>0</v>
      </c>
      <c r="F11" s="43" t="str">
        <f>VLOOKUP($B11,'TL6-12 Elements'!$A$2:$I$67,4,FALSE)</f>
        <v>-</v>
      </c>
      <c r="G11" s="43" t="str">
        <f>VLOOKUP($B11,'TL6-12 Elements'!$A$2:$I$67,5,FALSE)</f>
        <v>-</v>
      </c>
      <c r="H11" s="43" t="str">
        <f>VLOOKUP($B11,'TL6-12 Elements'!$A$2:$I$67,6,FALSE)</f>
        <v>-</v>
      </c>
      <c r="I11" s="45">
        <f>(((VLOOKUP($B11,'TL6-12 Elements'!$A$2:$I$67,7,FALSE))*M11)*(1+Q11+U11+Y11+AC11+AG11+AK11))*N11</f>
        <v>0</v>
      </c>
      <c r="J11" s="45">
        <f>(((VLOOKUP($B11,'TL6-12 Elements'!$A$2:$I$67,8,FALSE))*M11)*(1+R11+V11+Z11+AD11+AH11+AL11))*N11</f>
        <v>0</v>
      </c>
      <c r="K11" s="10">
        <v>7</v>
      </c>
      <c r="L11" s="10">
        <f>IF(VLOOKUP($B11,'TL6-12 Elements'!$A$2:$I$67,9,FALSE)-$K11=0,1,IF(VLOOKUP($B11,'TL6-12 Elements'!$A$2:$I$67,9,FALSE)-$K11=-1,2,IF(VLOOKUP($B11,'TL6-12 Elements'!$A$2:$I$67,9,FALSE)-$K11=-2,4,IF(VLOOKUP($B11,'TL6-12 Elements'!$A$2:$I$67,9,FALSE)-$K11=-3,8,IF(VLOOKUP($B11,'TL6-12 Elements'!$A$2:$I$67,9,FALSE)-$K11=-4,16,"Invalid")))))</f>
        <v>2</v>
      </c>
      <c r="M11" s="10">
        <v>1</v>
      </c>
      <c r="N11" s="44">
        <v>1</v>
      </c>
      <c r="O11" s="2" t="s">
        <v>138</v>
      </c>
      <c r="P11" s="2">
        <f>VLOOKUP(O11,'Equipment &amp; Troop Q'!$A$3:$D$7,2,FALSE)</f>
        <v>0</v>
      </c>
      <c r="Q11" s="2">
        <f>VLOOKUP($O11,'Equipment &amp; Troop Q'!$A$3:$D$7,3,FALSE)</f>
        <v>0</v>
      </c>
      <c r="R11" s="2">
        <f>VLOOKUP($O11,'Equipment &amp; Troop Q'!$A$3:$D$7,4,FALSE)</f>
        <v>0</v>
      </c>
      <c r="S11" s="2" t="s">
        <v>141</v>
      </c>
      <c r="T11" s="2">
        <f>VLOOKUP($S11,'Equipment &amp; Troop Q'!$A$13:$D$16,2,FALSE)</f>
        <v>0</v>
      </c>
      <c r="U11" s="2">
        <f>IF(OR(W11="Fanatic",AA11="Fanatic",AE11="Fanatic",AI11="Fanatic"),VLOOKUP($S11,'Equipment &amp; Troop Q'!$A$18:$D$19,3,FALSE),VLOOKUP($S11,'Equipment &amp; Troop Q'!$A$13:$D$16,3,FALSE))</f>
        <v>0</v>
      </c>
      <c r="V11" s="2">
        <f>VLOOKUP($S11,'Equipment &amp; Troop Q'!$A$13:$D$16,4,FALSE)</f>
        <v>0</v>
      </c>
      <c r="W11" s="2" t="s">
        <v>101</v>
      </c>
      <c r="X11" s="2">
        <f>VLOOKUP($W11,'Equipment &amp; Troop Q'!$F$3:$I$30,2,FALSE)</f>
        <v>0</v>
      </c>
      <c r="Y11" s="2">
        <f>VLOOKUP($W11,'Equipment &amp; Troop Q'!$F$3:$I$30,3,FALSE)</f>
        <v>0</v>
      </c>
      <c r="Z11" s="2">
        <f>VLOOKUP($W11,'Equipment &amp; Troop Q'!$F$3:$I$30,4,FALSE)</f>
        <v>0</v>
      </c>
      <c r="AA11" s="2" t="s">
        <v>101</v>
      </c>
      <c r="AB11" s="2">
        <f>VLOOKUP($AA11,'Equipment &amp; Troop Q'!$F$3:$I$30,2,FALSE)</f>
        <v>0</v>
      </c>
      <c r="AC11" s="2">
        <f>VLOOKUP($AA11,'Equipment &amp; Troop Q'!$F$3:$I$30,3,FALSE)</f>
        <v>0</v>
      </c>
      <c r="AD11" s="2">
        <f>VLOOKUP($AA11,'Equipment &amp; Troop Q'!$F$3:$I$30,4,FALSE)</f>
        <v>0</v>
      </c>
      <c r="AE11" s="2" t="s">
        <v>101</v>
      </c>
      <c r="AF11" s="2">
        <f>VLOOKUP($AE11,'Equipment &amp; Troop Q'!$F$3:$I$30,2,FALSE)</f>
        <v>0</v>
      </c>
      <c r="AG11" s="2">
        <f>VLOOKUP($AE11,'Equipment &amp; Troop Q'!$F$3:$I$30,3,FALSE)</f>
        <v>0</v>
      </c>
      <c r="AH11" s="2">
        <f>VLOOKUP($AE11,'Equipment &amp; Troop Q'!$F$3:$I$30,4,FALSE)</f>
        <v>0</v>
      </c>
      <c r="AI11" s="2" t="s">
        <v>101</v>
      </c>
      <c r="AJ11" s="2">
        <f>VLOOKUP($AI11,'Equipment &amp; Troop Q'!$F$3:$I$30,2,FALSE)</f>
        <v>0</v>
      </c>
      <c r="AK11" s="2">
        <f>VLOOKUP($AI11,'Equipment &amp; Troop Q'!$F$3:$I$30,3,FALSE)</f>
        <v>0</v>
      </c>
      <c r="AL11" s="2">
        <f>VLOOKUP($AI11,'Equipment &amp; Troop Q'!$F$3:$I$30,4,FALSE)</f>
        <v>0</v>
      </c>
    </row>
    <row r="12" spans="1:38" x14ac:dyDescent="0.2">
      <c r="B12" s="5" t="s">
        <v>101</v>
      </c>
      <c r="C12" s="43">
        <f>((((VLOOKUP($B12,'TL6-12 Elements'!$A$2:$I$67,2,FALSE))*L12)*M12)*(1+P12+T12+X12+AB12+AF12+AJ12))*N12</f>
        <v>0</v>
      </c>
      <c r="D12" s="43" t="str">
        <f>VLOOKUP($B12,'TL6-12 Elements'!$A$2:$I$67,3,FALSE)</f>
        <v>-</v>
      </c>
      <c r="E12" s="43">
        <f t="shared" si="0"/>
        <v>0</v>
      </c>
      <c r="F12" s="43" t="str">
        <f>VLOOKUP($B12,'TL6-12 Elements'!$A$2:$I$67,4,FALSE)</f>
        <v>-</v>
      </c>
      <c r="G12" s="43" t="str">
        <f>VLOOKUP($B12,'TL6-12 Elements'!$A$2:$I$67,5,FALSE)</f>
        <v>-</v>
      </c>
      <c r="H12" s="43" t="str">
        <f>VLOOKUP($B12,'TL6-12 Elements'!$A$2:$I$67,6,FALSE)</f>
        <v>-</v>
      </c>
      <c r="I12" s="45">
        <f>(((VLOOKUP($B12,'TL6-12 Elements'!$A$2:$I$67,7,FALSE))*M12)*(1+Q12+U12+Y12+AC12+AG12+AK12))*N12</f>
        <v>0</v>
      </c>
      <c r="J12" s="45">
        <f>(((VLOOKUP($B12,'TL6-12 Elements'!$A$2:$I$67,8,FALSE))*M12)*(1+R12+V12+Z12+AD12+AH12+AL12))*N12</f>
        <v>0</v>
      </c>
      <c r="K12" s="10">
        <v>7</v>
      </c>
      <c r="L12" s="10">
        <f>IF(VLOOKUP($B12,'TL6-12 Elements'!$A$2:$I$67,9,FALSE)-$K12=0,1,IF(VLOOKUP($B12,'TL6-12 Elements'!$A$2:$I$67,9,FALSE)-$K12=-1,2,IF(VLOOKUP($B12,'TL6-12 Elements'!$A$2:$I$67,9,FALSE)-$K12=-2,4,IF(VLOOKUP($B12,'TL6-12 Elements'!$A$2:$I$67,9,FALSE)-$K12=-3,8,IF(VLOOKUP($B12,'TL6-12 Elements'!$A$2:$I$67,9,FALSE)-$K12=-4,16,"Invalid")))))</f>
        <v>2</v>
      </c>
      <c r="M12" s="10">
        <v>1</v>
      </c>
      <c r="N12" s="44">
        <v>1</v>
      </c>
      <c r="O12" s="2" t="s">
        <v>138</v>
      </c>
      <c r="P12" s="2">
        <f>VLOOKUP(O12,'Equipment &amp; Troop Q'!$A$3:$D$7,2,FALSE)</f>
        <v>0</v>
      </c>
      <c r="Q12" s="2">
        <f>VLOOKUP($O12,'Equipment &amp; Troop Q'!$A$3:$D$7,3,FALSE)</f>
        <v>0</v>
      </c>
      <c r="R12" s="2">
        <f>VLOOKUP($O12,'Equipment &amp; Troop Q'!$A$3:$D$7,4,FALSE)</f>
        <v>0</v>
      </c>
      <c r="S12" s="2" t="s">
        <v>141</v>
      </c>
      <c r="T12" s="2">
        <f>VLOOKUP($S12,'Equipment &amp; Troop Q'!$A$13:$D$16,2,FALSE)</f>
        <v>0</v>
      </c>
      <c r="U12" s="2">
        <f>IF(OR(W12="Fanatic",AA12="Fanatic",AE12="Fanatic",AI12="Fanatic"),VLOOKUP($S12,'Equipment &amp; Troop Q'!$A$18:$D$19,3,FALSE),VLOOKUP($S12,'Equipment &amp; Troop Q'!$A$13:$D$16,3,FALSE))</f>
        <v>0</v>
      </c>
      <c r="V12" s="2">
        <f>VLOOKUP($S12,'Equipment &amp; Troop Q'!$A$13:$D$16,4,FALSE)</f>
        <v>0</v>
      </c>
      <c r="W12" s="2" t="s">
        <v>101</v>
      </c>
      <c r="X12" s="2">
        <f>VLOOKUP($W12,'Equipment &amp; Troop Q'!$F$3:$I$30,2,FALSE)</f>
        <v>0</v>
      </c>
      <c r="Y12" s="2">
        <f>VLOOKUP($W12,'Equipment &amp; Troop Q'!$F$3:$I$30,3,FALSE)</f>
        <v>0</v>
      </c>
      <c r="Z12" s="2">
        <f>VLOOKUP($W12,'Equipment &amp; Troop Q'!$F$3:$I$30,4,FALSE)</f>
        <v>0</v>
      </c>
      <c r="AA12" s="2" t="s">
        <v>101</v>
      </c>
      <c r="AB12" s="2">
        <f>VLOOKUP($AA12,'Equipment &amp; Troop Q'!$F$3:$I$30,2,FALSE)</f>
        <v>0</v>
      </c>
      <c r="AC12" s="2">
        <f>VLOOKUP($AA12,'Equipment &amp; Troop Q'!$F$3:$I$30,3,FALSE)</f>
        <v>0</v>
      </c>
      <c r="AD12" s="2">
        <f>VLOOKUP($AA12,'Equipment &amp; Troop Q'!$F$3:$I$30,4,FALSE)</f>
        <v>0</v>
      </c>
      <c r="AE12" s="2" t="s">
        <v>101</v>
      </c>
      <c r="AF12" s="2">
        <f>VLOOKUP($AE12,'Equipment &amp; Troop Q'!$F$3:$I$30,2,FALSE)</f>
        <v>0</v>
      </c>
      <c r="AG12" s="2">
        <f>VLOOKUP($AE12,'Equipment &amp; Troop Q'!$F$3:$I$30,3,FALSE)</f>
        <v>0</v>
      </c>
      <c r="AH12" s="2">
        <f>VLOOKUP($AE12,'Equipment &amp; Troop Q'!$F$3:$I$30,4,FALSE)</f>
        <v>0</v>
      </c>
      <c r="AI12" s="2" t="s">
        <v>101</v>
      </c>
      <c r="AJ12" s="2">
        <f>VLOOKUP($AI12,'Equipment &amp; Troop Q'!$F$3:$I$30,2,FALSE)</f>
        <v>0</v>
      </c>
      <c r="AK12" s="2">
        <f>VLOOKUP($AI12,'Equipment &amp; Troop Q'!$F$3:$I$30,3,FALSE)</f>
        <v>0</v>
      </c>
      <c r="AL12" s="2">
        <f>VLOOKUP($AI12,'Equipment &amp; Troop Q'!$F$3:$I$30,4,FALSE)</f>
        <v>0</v>
      </c>
    </row>
    <row r="13" spans="1:38" x14ac:dyDescent="0.2">
      <c r="B13" s="5" t="s">
        <v>101</v>
      </c>
      <c r="C13" s="43">
        <f>((((VLOOKUP($B13,'TL6-12 Elements'!$A$2:$I$67,2,FALSE))*L13)*M13)*(1+P13+T13+X13+AB13+AF13+AJ13))*N13</f>
        <v>0</v>
      </c>
      <c r="D13" s="43" t="str">
        <f>VLOOKUP($B13,'TL6-12 Elements'!$A$2:$I$67,3,FALSE)</f>
        <v>-</v>
      </c>
      <c r="E13" s="43">
        <f t="shared" si="0"/>
        <v>0</v>
      </c>
      <c r="F13" s="43" t="str">
        <f>VLOOKUP($B13,'TL6-12 Elements'!$A$2:$I$67,4,FALSE)</f>
        <v>-</v>
      </c>
      <c r="G13" s="43" t="str">
        <f>VLOOKUP($B13,'TL6-12 Elements'!$A$2:$I$67,5,FALSE)</f>
        <v>-</v>
      </c>
      <c r="H13" s="43" t="str">
        <f>VLOOKUP($B13,'TL6-12 Elements'!$A$2:$I$67,6,FALSE)</f>
        <v>-</v>
      </c>
      <c r="I13" s="45">
        <f>(((VLOOKUP($B13,'TL6-12 Elements'!$A$2:$I$67,7,FALSE))*M13)*(1+Q13+U13+Y13+AC13+AG13+AK13))*N13</f>
        <v>0</v>
      </c>
      <c r="J13" s="45">
        <f>(((VLOOKUP($B13,'TL6-12 Elements'!$A$2:$I$67,8,FALSE))*M13)*(1+R13+V13+Z13+AD13+AH13+AL13))*N13</f>
        <v>0</v>
      </c>
      <c r="K13" s="10">
        <v>7</v>
      </c>
      <c r="L13" s="10">
        <f>IF(VLOOKUP($B13,'TL6-12 Elements'!$A$2:$I$67,9,FALSE)-$K13=0,1,IF(VLOOKUP($B13,'TL6-12 Elements'!$A$2:$I$67,9,FALSE)-$K13=-1,2,IF(VLOOKUP($B13,'TL6-12 Elements'!$A$2:$I$67,9,FALSE)-$K13=-2,4,IF(VLOOKUP($B13,'TL6-12 Elements'!$A$2:$I$67,9,FALSE)-$K13=-3,8,IF(VLOOKUP($B13,'TL6-12 Elements'!$A$2:$I$67,9,FALSE)-$K13=-4,16,"Invalid")))))</f>
        <v>2</v>
      </c>
      <c r="M13" s="10">
        <v>1</v>
      </c>
      <c r="N13" s="44">
        <v>1</v>
      </c>
      <c r="O13" s="2" t="s">
        <v>138</v>
      </c>
      <c r="P13" s="2">
        <f>VLOOKUP(O13,'Equipment &amp; Troop Q'!$A$3:$D$7,2,FALSE)</f>
        <v>0</v>
      </c>
      <c r="Q13" s="2">
        <f>VLOOKUP($O13,'Equipment &amp; Troop Q'!$A$3:$D$7,3,FALSE)</f>
        <v>0</v>
      </c>
      <c r="R13" s="2">
        <f>VLOOKUP($O13,'Equipment &amp; Troop Q'!$A$3:$D$7,4,FALSE)</f>
        <v>0</v>
      </c>
      <c r="S13" s="2" t="s">
        <v>141</v>
      </c>
      <c r="T13" s="2">
        <f>VLOOKUP($S13,'Equipment &amp; Troop Q'!$A$13:$D$16,2,FALSE)</f>
        <v>0</v>
      </c>
      <c r="U13" s="2">
        <f>IF(OR(W13="Fanatic",AA13="Fanatic",AE13="Fanatic",AI13="Fanatic"),VLOOKUP($S13,'Equipment &amp; Troop Q'!$A$18:$D$19,3,FALSE),VLOOKUP($S13,'Equipment &amp; Troop Q'!$A$13:$D$16,3,FALSE))</f>
        <v>0</v>
      </c>
      <c r="V13" s="2">
        <f>VLOOKUP($S13,'Equipment &amp; Troop Q'!$A$13:$D$16,4,FALSE)</f>
        <v>0</v>
      </c>
      <c r="W13" s="2" t="s">
        <v>101</v>
      </c>
      <c r="X13" s="2">
        <f>VLOOKUP($W13,'Equipment &amp; Troop Q'!$F$3:$I$30,2,FALSE)</f>
        <v>0</v>
      </c>
      <c r="Y13" s="2">
        <f>VLOOKUP($W13,'Equipment &amp; Troop Q'!$F$3:$I$30,3,FALSE)</f>
        <v>0</v>
      </c>
      <c r="Z13" s="2">
        <f>VLOOKUP($W13,'Equipment &amp; Troop Q'!$F$3:$I$30,4,FALSE)</f>
        <v>0</v>
      </c>
      <c r="AA13" s="2" t="s">
        <v>101</v>
      </c>
      <c r="AB13" s="2">
        <f>VLOOKUP($AA13,'Equipment &amp; Troop Q'!$F$3:$I$30,2,FALSE)</f>
        <v>0</v>
      </c>
      <c r="AC13" s="2">
        <f>VLOOKUP($AA13,'Equipment &amp; Troop Q'!$F$3:$I$30,3,FALSE)</f>
        <v>0</v>
      </c>
      <c r="AD13" s="2">
        <f>VLOOKUP($AA13,'Equipment &amp; Troop Q'!$F$3:$I$30,4,FALSE)</f>
        <v>0</v>
      </c>
      <c r="AE13" s="2" t="s">
        <v>101</v>
      </c>
      <c r="AF13" s="2">
        <f>VLOOKUP($AE13,'Equipment &amp; Troop Q'!$F$3:$I$30,2,FALSE)</f>
        <v>0</v>
      </c>
      <c r="AG13" s="2">
        <f>VLOOKUP($AE13,'Equipment &amp; Troop Q'!$F$3:$I$30,3,FALSE)</f>
        <v>0</v>
      </c>
      <c r="AH13" s="2">
        <f>VLOOKUP($AE13,'Equipment &amp; Troop Q'!$F$3:$I$30,4,FALSE)</f>
        <v>0</v>
      </c>
      <c r="AI13" s="2" t="s">
        <v>101</v>
      </c>
      <c r="AJ13" s="2">
        <f>VLOOKUP($AI13,'Equipment &amp; Troop Q'!$F$3:$I$30,2,FALSE)</f>
        <v>0</v>
      </c>
      <c r="AK13" s="2">
        <f>VLOOKUP($AI13,'Equipment &amp; Troop Q'!$F$3:$I$30,3,FALSE)</f>
        <v>0</v>
      </c>
      <c r="AL13" s="2">
        <f>VLOOKUP($AI13,'Equipment &amp; Troop Q'!$F$3:$I$30,4,FALSE)</f>
        <v>0</v>
      </c>
    </row>
    <row r="14" spans="1:38" x14ac:dyDescent="0.2">
      <c r="B14" s="5" t="s">
        <v>101</v>
      </c>
      <c r="C14" s="43">
        <f>((((VLOOKUP($B14,'TL6-12 Elements'!$A$2:$I$67,2,FALSE))*L14)*M14)*(1+P14+T14+X14+AB14+AF14+AJ14))*N14</f>
        <v>0</v>
      </c>
      <c r="D14" s="43" t="str">
        <f>VLOOKUP($B14,'TL6-12 Elements'!$A$2:$I$67,3,FALSE)</f>
        <v>-</v>
      </c>
      <c r="E14" s="43">
        <f t="shared" si="0"/>
        <v>0</v>
      </c>
      <c r="F14" s="43" t="str">
        <f>VLOOKUP($B14,'TL6-12 Elements'!$A$2:$I$67,4,FALSE)</f>
        <v>-</v>
      </c>
      <c r="G14" s="43" t="str">
        <f>VLOOKUP($B14,'TL6-12 Elements'!$A$2:$I$67,5,FALSE)</f>
        <v>-</v>
      </c>
      <c r="H14" s="43" t="str">
        <f>VLOOKUP($B14,'TL6-12 Elements'!$A$2:$I$67,6,FALSE)</f>
        <v>-</v>
      </c>
      <c r="I14" s="45">
        <f>(((VLOOKUP($B14,'TL6-12 Elements'!$A$2:$I$67,7,FALSE))*M14)*(1+Q14+U14+Y14+AC14+AG14+AK14))*N14</f>
        <v>0</v>
      </c>
      <c r="J14" s="45">
        <f>(((VLOOKUP($B14,'TL6-12 Elements'!$A$2:$I$67,8,FALSE))*M14)*(1+R14+V14+Z14+AD14+AH14+AL14))*N14</f>
        <v>0</v>
      </c>
      <c r="K14" s="10">
        <v>7</v>
      </c>
      <c r="L14" s="10">
        <f>IF(VLOOKUP($B14,'TL6-12 Elements'!$A$2:$I$67,9,FALSE)-$K14=0,1,IF(VLOOKUP($B14,'TL6-12 Elements'!$A$2:$I$67,9,FALSE)-$K14=-1,2,IF(VLOOKUP($B14,'TL6-12 Elements'!$A$2:$I$67,9,FALSE)-$K14=-2,4,IF(VLOOKUP($B14,'TL6-12 Elements'!$A$2:$I$67,9,FALSE)-$K14=-3,8,IF(VLOOKUP($B14,'TL6-12 Elements'!$A$2:$I$67,9,FALSE)-$K14=-4,16,"Invalid")))))</f>
        <v>2</v>
      </c>
      <c r="M14" s="10">
        <v>1</v>
      </c>
      <c r="N14" s="44">
        <v>1</v>
      </c>
      <c r="O14" s="2" t="s">
        <v>138</v>
      </c>
      <c r="P14" s="2">
        <f>VLOOKUP(O14,'Equipment &amp; Troop Q'!$A$3:$D$7,2,FALSE)</f>
        <v>0</v>
      </c>
      <c r="Q14" s="2">
        <f>VLOOKUP($O14,'Equipment &amp; Troop Q'!$A$3:$D$7,3,FALSE)</f>
        <v>0</v>
      </c>
      <c r="R14" s="2">
        <f>VLOOKUP($O14,'Equipment &amp; Troop Q'!$A$3:$D$7,4,FALSE)</f>
        <v>0</v>
      </c>
      <c r="S14" s="2" t="s">
        <v>141</v>
      </c>
      <c r="T14" s="2">
        <f>VLOOKUP($S14,'Equipment &amp; Troop Q'!$A$13:$D$16,2,FALSE)</f>
        <v>0</v>
      </c>
      <c r="U14" s="2">
        <f>IF(OR(W14="Fanatic",AA14="Fanatic",AE14="Fanatic",AI14="Fanatic"),VLOOKUP($S14,'Equipment &amp; Troop Q'!$A$18:$D$19,3,FALSE),VLOOKUP($S14,'Equipment &amp; Troop Q'!$A$13:$D$16,3,FALSE))</f>
        <v>0</v>
      </c>
      <c r="V14" s="2">
        <f>VLOOKUP($S14,'Equipment &amp; Troop Q'!$A$13:$D$16,4,FALSE)</f>
        <v>0</v>
      </c>
      <c r="W14" s="2" t="s">
        <v>101</v>
      </c>
      <c r="X14" s="2">
        <f>VLOOKUP($W14,'Equipment &amp; Troop Q'!$F$3:$I$30,2,FALSE)</f>
        <v>0</v>
      </c>
      <c r="Y14" s="2">
        <f>VLOOKUP($W14,'Equipment &amp; Troop Q'!$F$3:$I$30,3,FALSE)</f>
        <v>0</v>
      </c>
      <c r="Z14" s="2">
        <f>VLOOKUP($W14,'Equipment &amp; Troop Q'!$F$3:$I$30,4,FALSE)</f>
        <v>0</v>
      </c>
      <c r="AA14" s="2" t="s">
        <v>101</v>
      </c>
      <c r="AB14" s="2">
        <f>VLOOKUP($AA14,'Equipment &amp; Troop Q'!$F$3:$I$30,2,FALSE)</f>
        <v>0</v>
      </c>
      <c r="AC14" s="2">
        <f>VLOOKUP($AA14,'Equipment &amp; Troop Q'!$F$3:$I$30,3,FALSE)</f>
        <v>0</v>
      </c>
      <c r="AD14" s="2">
        <f>VLOOKUP($AA14,'Equipment &amp; Troop Q'!$F$3:$I$30,4,FALSE)</f>
        <v>0</v>
      </c>
      <c r="AE14" s="2" t="s">
        <v>101</v>
      </c>
      <c r="AF14" s="2">
        <f>VLOOKUP($AE14,'Equipment &amp; Troop Q'!$F$3:$I$30,2,FALSE)</f>
        <v>0</v>
      </c>
      <c r="AG14" s="2">
        <f>VLOOKUP($AE14,'Equipment &amp; Troop Q'!$F$3:$I$30,3,FALSE)</f>
        <v>0</v>
      </c>
      <c r="AH14" s="2">
        <f>VLOOKUP($AE14,'Equipment &amp; Troop Q'!$F$3:$I$30,4,FALSE)</f>
        <v>0</v>
      </c>
      <c r="AI14" s="2" t="s">
        <v>101</v>
      </c>
      <c r="AJ14" s="2">
        <f>VLOOKUP($AI14,'Equipment &amp; Troop Q'!$F$3:$I$30,2,FALSE)</f>
        <v>0</v>
      </c>
      <c r="AK14" s="2">
        <f>VLOOKUP($AI14,'Equipment &amp; Troop Q'!$F$3:$I$30,3,FALSE)</f>
        <v>0</v>
      </c>
      <c r="AL14" s="2">
        <f>VLOOKUP($AI14,'Equipment &amp; Troop Q'!$F$3:$I$30,4,FALSE)</f>
        <v>0</v>
      </c>
    </row>
    <row r="15" spans="1:38" x14ac:dyDescent="0.2">
      <c r="B15" s="5" t="s">
        <v>101</v>
      </c>
      <c r="C15" s="43">
        <f>((((VLOOKUP($B15,'TL6-12 Elements'!$A$2:$I$67,2,FALSE))*L15)*M15)*(1+P15+T15+X15+AB15+AF15+AJ15))*N15</f>
        <v>0</v>
      </c>
      <c r="D15" s="43" t="str">
        <f>VLOOKUP($B15,'TL6-12 Elements'!$A$2:$I$67,3,FALSE)</f>
        <v>-</v>
      </c>
      <c r="E15" s="43">
        <f t="shared" si="0"/>
        <v>0</v>
      </c>
      <c r="F15" s="43" t="str">
        <f>VLOOKUP($B15,'TL6-12 Elements'!$A$2:$I$67,4,FALSE)</f>
        <v>-</v>
      </c>
      <c r="G15" s="43" t="str">
        <f>VLOOKUP($B15,'TL6-12 Elements'!$A$2:$I$67,5,FALSE)</f>
        <v>-</v>
      </c>
      <c r="H15" s="43" t="str">
        <f>VLOOKUP($B15,'TL6-12 Elements'!$A$2:$I$67,6,FALSE)</f>
        <v>-</v>
      </c>
      <c r="I15" s="45">
        <f>(((VLOOKUP($B15,'TL6-12 Elements'!$A$2:$I$67,7,FALSE))*M15)*(1+Q15+U15+Y15+AC15+AG15+AK15))*N15</f>
        <v>0</v>
      </c>
      <c r="J15" s="45">
        <f>(((VLOOKUP($B15,'TL6-12 Elements'!$A$2:$I$67,8,FALSE))*M15)*(1+R15+V15+Z15+AD15+AH15+AL15))*N15</f>
        <v>0</v>
      </c>
      <c r="K15" s="10">
        <v>7</v>
      </c>
      <c r="L15" s="10">
        <f>IF(VLOOKUP($B15,'TL6-12 Elements'!$A$2:$I$67,9,FALSE)-$K15=0,1,IF(VLOOKUP($B15,'TL6-12 Elements'!$A$2:$I$67,9,FALSE)-$K15=-1,2,IF(VLOOKUP($B15,'TL6-12 Elements'!$A$2:$I$67,9,FALSE)-$K15=-2,4,IF(VLOOKUP($B15,'TL6-12 Elements'!$A$2:$I$67,9,FALSE)-$K15=-3,8,IF(VLOOKUP($B15,'TL6-12 Elements'!$A$2:$I$67,9,FALSE)-$K15=-4,16,"Invalid")))))</f>
        <v>2</v>
      </c>
      <c r="M15" s="10">
        <v>1</v>
      </c>
      <c r="N15" s="44">
        <v>1</v>
      </c>
      <c r="O15" s="2" t="s">
        <v>138</v>
      </c>
      <c r="P15" s="2">
        <f>VLOOKUP(O15,'Equipment &amp; Troop Q'!$A$3:$D$7,2,FALSE)</f>
        <v>0</v>
      </c>
      <c r="Q15" s="2">
        <f>VLOOKUP($O15,'Equipment &amp; Troop Q'!$A$3:$D$7,3,FALSE)</f>
        <v>0</v>
      </c>
      <c r="R15" s="2">
        <f>VLOOKUP($O15,'Equipment &amp; Troop Q'!$A$3:$D$7,4,FALSE)</f>
        <v>0</v>
      </c>
      <c r="S15" s="2" t="s">
        <v>141</v>
      </c>
      <c r="T15" s="2">
        <f>VLOOKUP($S15,'Equipment &amp; Troop Q'!$A$13:$D$16,2,FALSE)</f>
        <v>0</v>
      </c>
      <c r="U15" s="2">
        <f>IF(OR(W15="Fanatic",AA15="Fanatic",AE15="Fanatic",AI15="Fanatic"),VLOOKUP($S15,'Equipment &amp; Troop Q'!$A$18:$D$19,3,FALSE),VLOOKUP($S15,'Equipment &amp; Troop Q'!$A$13:$D$16,3,FALSE))</f>
        <v>0</v>
      </c>
      <c r="V15" s="2">
        <f>VLOOKUP($S15,'Equipment &amp; Troop Q'!$A$13:$D$16,4,FALSE)</f>
        <v>0</v>
      </c>
      <c r="W15" s="2" t="s">
        <v>101</v>
      </c>
      <c r="X15" s="2">
        <f>VLOOKUP($W15,'Equipment &amp; Troop Q'!$F$3:$I$30,2,FALSE)</f>
        <v>0</v>
      </c>
      <c r="Y15" s="2">
        <f>VLOOKUP($W15,'Equipment &amp; Troop Q'!$F$3:$I$30,3,FALSE)</f>
        <v>0</v>
      </c>
      <c r="Z15" s="2">
        <f>VLOOKUP($W15,'Equipment &amp; Troop Q'!$F$3:$I$30,4,FALSE)</f>
        <v>0</v>
      </c>
      <c r="AA15" s="2" t="s">
        <v>101</v>
      </c>
      <c r="AB15" s="2">
        <f>VLOOKUP($AA15,'Equipment &amp; Troop Q'!$F$3:$I$30,2,FALSE)</f>
        <v>0</v>
      </c>
      <c r="AC15" s="2">
        <f>VLOOKUP($AA15,'Equipment &amp; Troop Q'!$F$3:$I$30,3,FALSE)</f>
        <v>0</v>
      </c>
      <c r="AD15" s="2">
        <f>VLOOKUP($AA15,'Equipment &amp; Troop Q'!$F$3:$I$30,4,FALSE)</f>
        <v>0</v>
      </c>
      <c r="AE15" s="2" t="s">
        <v>101</v>
      </c>
      <c r="AF15" s="2">
        <f>VLOOKUP($AE15,'Equipment &amp; Troop Q'!$F$3:$I$30,2,FALSE)</f>
        <v>0</v>
      </c>
      <c r="AG15" s="2">
        <f>VLOOKUP($AE15,'Equipment &amp; Troop Q'!$F$3:$I$30,3,FALSE)</f>
        <v>0</v>
      </c>
      <c r="AH15" s="2">
        <f>VLOOKUP($AE15,'Equipment &amp; Troop Q'!$F$3:$I$30,4,FALSE)</f>
        <v>0</v>
      </c>
      <c r="AI15" s="2" t="s">
        <v>101</v>
      </c>
      <c r="AJ15" s="2">
        <f>VLOOKUP($AI15,'Equipment &amp; Troop Q'!$F$3:$I$30,2,FALSE)</f>
        <v>0</v>
      </c>
      <c r="AK15" s="2">
        <f>VLOOKUP($AI15,'Equipment &amp; Troop Q'!$F$3:$I$30,3,FALSE)</f>
        <v>0</v>
      </c>
      <c r="AL15" s="2">
        <f>VLOOKUP($AI15,'Equipment &amp; Troop Q'!$F$3:$I$30,4,FALSE)</f>
        <v>0</v>
      </c>
    </row>
    <row r="16" spans="1:38" x14ac:dyDescent="0.2">
      <c r="B16" s="5" t="s">
        <v>101</v>
      </c>
      <c r="C16" s="43">
        <f>((((VLOOKUP($B16,'TL6-12 Elements'!$A$2:$I$67,2,FALSE))*L16)*M16)*(1+P16+T16+X16+AB16+AF16+AJ16))*N16</f>
        <v>0</v>
      </c>
      <c r="D16" s="43" t="str">
        <f>VLOOKUP($B16,'TL6-12 Elements'!$A$2:$I$67,3,FALSE)</f>
        <v>-</v>
      </c>
      <c r="E16" s="43">
        <f t="shared" si="0"/>
        <v>0</v>
      </c>
      <c r="F16" s="43" t="str">
        <f>VLOOKUP($B16,'TL6-12 Elements'!$A$2:$I$67,4,FALSE)</f>
        <v>-</v>
      </c>
      <c r="G16" s="43" t="str">
        <f>VLOOKUP($B16,'TL6-12 Elements'!$A$2:$I$67,5,FALSE)</f>
        <v>-</v>
      </c>
      <c r="H16" s="43" t="str">
        <f>VLOOKUP($B16,'TL6-12 Elements'!$A$2:$I$67,6,FALSE)</f>
        <v>-</v>
      </c>
      <c r="I16" s="45">
        <f>(((VLOOKUP($B16,'TL6-12 Elements'!$A$2:$I$67,7,FALSE))*M16)*(1+Q16+U16+Y16+AC16+AG16+AK16))*N16</f>
        <v>0</v>
      </c>
      <c r="J16" s="45">
        <f>(((VLOOKUP($B16,'TL6-12 Elements'!$A$2:$I$67,8,FALSE))*M16)*(1+R16+V16+Z16+AD16+AH16+AL16))*N16</f>
        <v>0</v>
      </c>
      <c r="K16" s="10">
        <v>7</v>
      </c>
      <c r="L16" s="10">
        <f>IF(VLOOKUP($B16,'TL6-12 Elements'!$A$2:$I$67,9,FALSE)-$K16=0,1,IF(VLOOKUP($B16,'TL6-12 Elements'!$A$2:$I$67,9,FALSE)-$K16=-1,2,IF(VLOOKUP($B16,'TL6-12 Elements'!$A$2:$I$67,9,FALSE)-$K16=-2,4,IF(VLOOKUP($B16,'TL6-12 Elements'!$A$2:$I$67,9,FALSE)-$K16=-3,8,IF(VLOOKUP($B16,'TL6-12 Elements'!$A$2:$I$67,9,FALSE)-$K16=-4,16,"Invalid")))))</f>
        <v>2</v>
      </c>
      <c r="M16" s="10">
        <v>1</v>
      </c>
      <c r="N16" s="44">
        <v>1</v>
      </c>
      <c r="O16" s="2" t="s">
        <v>138</v>
      </c>
      <c r="P16" s="2">
        <f>VLOOKUP(O16,'Equipment &amp; Troop Q'!$A$3:$D$7,2,FALSE)</f>
        <v>0</v>
      </c>
      <c r="Q16" s="2">
        <f>VLOOKUP($O16,'Equipment &amp; Troop Q'!$A$3:$D$7,3,FALSE)</f>
        <v>0</v>
      </c>
      <c r="R16" s="2">
        <f>VLOOKUP($O16,'Equipment &amp; Troop Q'!$A$3:$D$7,4,FALSE)</f>
        <v>0</v>
      </c>
      <c r="S16" s="2" t="s">
        <v>141</v>
      </c>
      <c r="T16" s="2">
        <f>VLOOKUP($S16,'Equipment &amp; Troop Q'!$A$13:$D$16,2,FALSE)</f>
        <v>0</v>
      </c>
      <c r="U16" s="2">
        <f>IF(OR(W16="Fanatic",AA16="Fanatic",AE16="Fanatic",AI16="Fanatic"),VLOOKUP($S16,'Equipment &amp; Troop Q'!$A$18:$D$19,3,FALSE),VLOOKUP($S16,'Equipment &amp; Troop Q'!$A$13:$D$16,3,FALSE))</f>
        <v>0</v>
      </c>
      <c r="V16" s="2">
        <f>VLOOKUP($S16,'Equipment &amp; Troop Q'!$A$13:$D$16,4,FALSE)</f>
        <v>0</v>
      </c>
      <c r="W16" s="2" t="s">
        <v>101</v>
      </c>
      <c r="X16" s="2">
        <f>VLOOKUP($W16,'Equipment &amp; Troop Q'!$F$3:$I$30,2,FALSE)</f>
        <v>0</v>
      </c>
      <c r="Y16" s="2">
        <f>VLOOKUP($W16,'Equipment &amp; Troop Q'!$F$3:$I$30,3,FALSE)</f>
        <v>0</v>
      </c>
      <c r="Z16" s="2">
        <f>VLOOKUP($W16,'Equipment &amp; Troop Q'!$F$3:$I$30,4,FALSE)</f>
        <v>0</v>
      </c>
      <c r="AA16" s="2" t="s">
        <v>101</v>
      </c>
      <c r="AB16" s="2">
        <f>VLOOKUP($AA16,'Equipment &amp; Troop Q'!$F$3:$I$30,2,FALSE)</f>
        <v>0</v>
      </c>
      <c r="AC16" s="2">
        <f>VLOOKUP($AA16,'Equipment &amp; Troop Q'!$F$3:$I$30,3,FALSE)</f>
        <v>0</v>
      </c>
      <c r="AD16" s="2">
        <f>VLOOKUP($AA16,'Equipment &amp; Troop Q'!$F$3:$I$30,4,FALSE)</f>
        <v>0</v>
      </c>
      <c r="AE16" s="2" t="s">
        <v>101</v>
      </c>
      <c r="AF16" s="2">
        <f>VLOOKUP($AE16,'Equipment &amp; Troop Q'!$F$3:$I$30,2,FALSE)</f>
        <v>0</v>
      </c>
      <c r="AG16" s="2">
        <f>VLOOKUP($AE16,'Equipment &amp; Troop Q'!$F$3:$I$30,3,FALSE)</f>
        <v>0</v>
      </c>
      <c r="AH16" s="2">
        <f>VLOOKUP($AE16,'Equipment &amp; Troop Q'!$F$3:$I$30,4,FALSE)</f>
        <v>0</v>
      </c>
      <c r="AI16" s="2" t="s">
        <v>101</v>
      </c>
      <c r="AJ16" s="2">
        <f>VLOOKUP($AI16,'Equipment &amp; Troop Q'!$F$3:$I$30,2,FALSE)</f>
        <v>0</v>
      </c>
      <c r="AK16" s="2">
        <f>VLOOKUP($AI16,'Equipment &amp; Troop Q'!$F$3:$I$30,3,FALSE)</f>
        <v>0</v>
      </c>
      <c r="AL16" s="2">
        <f>VLOOKUP($AI16,'Equipment &amp; Troop Q'!$F$3:$I$30,4,FALSE)</f>
        <v>0</v>
      </c>
    </row>
    <row r="17" spans="2:38" x14ac:dyDescent="0.2">
      <c r="B17" s="5" t="s">
        <v>101</v>
      </c>
      <c r="C17" s="43">
        <f>((((VLOOKUP($B17,'TL6-12 Elements'!$A$2:$I$67,2,FALSE))*L17)*M17)*(1+P17+T17+X17+AB17+AF17+AJ17))*N17</f>
        <v>0</v>
      </c>
      <c r="D17" s="43" t="str">
        <f>VLOOKUP($B17,'TL6-12 Elements'!$A$2:$I$67,3,FALSE)</f>
        <v>-</v>
      </c>
      <c r="E17" s="43">
        <f t="shared" si="0"/>
        <v>0</v>
      </c>
      <c r="F17" s="43" t="str">
        <f>VLOOKUP($B17,'TL6-12 Elements'!$A$2:$I$67,4,FALSE)</f>
        <v>-</v>
      </c>
      <c r="G17" s="43" t="str">
        <f>VLOOKUP($B17,'TL6-12 Elements'!$A$2:$I$67,5,FALSE)</f>
        <v>-</v>
      </c>
      <c r="H17" s="43" t="str">
        <f>VLOOKUP($B17,'TL6-12 Elements'!$A$2:$I$67,6,FALSE)</f>
        <v>-</v>
      </c>
      <c r="I17" s="45">
        <f>(((VLOOKUP($B17,'TL6-12 Elements'!$A$2:$I$67,7,FALSE))*M17)*(1+Q17+U17+Y17+AC17+AG17+AK17))*N17</f>
        <v>0</v>
      </c>
      <c r="J17" s="45">
        <f>(((VLOOKUP($B17,'TL6-12 Elements'!$A$2:$I$67,8,FALSE))*M17)*(1+R17+V17+Z17+AD17+AH17+AL17))*N17</f>
        <v>0</v>
      </c>
      <c r="K17" s="10">
        <v>7</v>
      </c>
      <c r="L17" s="10">
        <f>IF(VLOOKUP($B17,'TL6-12 Elements'!$A$2:$I$67,9,FALSE)-$K17=0,1,IF(VLOOKUP($B17,'TL6-12 Elements'!$A$2:$I$67,9,FALSE)-$K17=-1,2,IF(VLOOKUP($B17,'TL6-12 Elements'!$A$2:$I$67,9,FALSE)-$K17=-2,4,IF(VLOOKUP($B17,'TL6-12 Elements'!$A$2:$I$67,9,FALSE)-$K17=-3,8,IF(VLOOKUP($B17,'TL6-12 Elements'!$A$2:$I$67,9,FALSE)-$K17=-4,16,"Invalid")))))</f>
        <v>2</v>
      </c>
      <c r="M17" s="10">
        <v>1</v>
      </c>
      <c r="N17" s="44">
        <v>1</v>
      </c>
      <c r="O17" s="2" t="s">
        <v>138</v>
      </c>
      <c r="P17" s="2">
        <f>VLOOKUP(O17,'Equipment &amp; Troop Q'!$A$3:$D$7,2,FALSE)</f>
        <v>0</v>
      </c>
      <c r="Q17" s="2">
        <f>VLOOKUP($O17,'Equipment &amp; Troop Q'!$A$3:$D$7,3,FALSE)</f>
        <v>0</v>
      </c>
      <c r="R17" s="2">
        <f>VLOOKUP($O17,'Equipment &amp; Troop Q'!$A$3:$D$7,4,FALSE)</f>
        <v>0</v>
      </c>
      <c r="S17" s="2" t="s">
        <v>141</v>
      </c>
      <c r="T17" s="2">
        <f>VLOOKUP($S17,'Equipment &amp; Troop Q'!$A$13:$D$16,2,FALSE)</f>
        <v>0</v>
      </c>
      <c r="U17" s="2">
        <f>IF(OR(W17="Fanatic",AA17="Fanatic",AE17="Fanatic",AI17="Fanatic"),VLOOKUP($S17,'Equipment &amp; Troop Q'!$A$18:$D$19,3,FALSE),VLOOKUP($S17,'Equipment &amp; Troop Q'!$A$13:$D$16,3,FALSE))</f>
        <v>0</v>
      </c>
      <c r="V17" s="2">
        <f>VLOOKUP($S17,'Equipment &amp; Troop Q'!$A$13:$D$16,4,FALSE)</f>
        <v>0</v>
      </c>
      <c r="W17" s="2" t="s">
        <v>101</v>
      </c>
      <c r="X17" s="2">
        <f>VLOOKUP($W17,'Equipment &amp; Troop Q'!$F$3:$I$30,2,FALSE)</f>
        <v>0</v>
      </c>
      <c r="Y17" s="2">
        <f>VLOOKUP($W17,'Equipment &amp; Troop Q'!$F$3:$I$30,3,FALSE)</f>
        <v>0</v>
      </c>
      <c r="Z17" s="2">
        <f>VLOOKUP($W17,'Equipment &amp; Troop Q'!$F$3:$I$30,4,FALSE)</f>
        <v>0</v>
      </c>
      <c r="AA17" s="2" t="s">
        <v>101</v>
      </c>
      <c r="AB17" s="2">
        <f>VLOOKUP($AA17,'Equipment &amp; Troop Q'!$F$3:$I$30,2,FALSE)</f>
        <v>0</v>
      </c>
      <c r="AC17" s="2">
        <f>VLOOKUP($AA17,'Equipment &amp; Troop Q'!$F$3:$I$30,3,FALSE)</f>
        <v>0</v>
      </c>
      <c r="AD17" s="2">
        <f>VLOOKUP($AA17,'Equipment &amp; Troop Q'!$F$3:$I$30,4,FALSE)</f>
        <v>0</v>
      </c>
      <c r="AE17" s="2" t="s">
        <v>101</v>
      </c>
      <c r="AF17" s="2">
        <f>VLOOKUP($AE17,'Equipment &amp; Troop Q'!$F$3:$I$30,2,FALSE)</f>
        <v>0</v>
      </c>
      <c r="AG17" s="2">
        <f>VLOOKUP($AE17,'Equipment &amp; Troop Q'!$F$3:$I$30,3,FALSE)</f>
        <v>0</v>
      </c>
      <c r="AH17" s="2">
        <f>VLOOKUP($AE17,'Equipment &amp; Troop Q'!$F$3:$I$30,4,FALSE)</f>
        <v>0</v>
      </c>
      <c r="AI17" s="2" t="s">
        <v>101</v>
      </c>
      <c r="AJ17" s="2">
        <f>VLOOKUP($AI17,'Equipment &amp; Troop Q'!$F$3:$I$30,2,FALSE)</f>
        <v>0</v>
      </c>
      <c r="AK17" s="2">
        <f>VLOOKUP($AI17,'Equipment &amp; Troop Q'!$F$3:$I$30,3,FALSE)</f>
        <v>0</v>
      </c>
      <c r="AL17" s="2">
        <f>VLOOKUP($AI17,'Equipment &amp; Troop Q'!$F$3:$I$30,4,FALSE)</f>
        <v>0</v>
      </c>
    </row>
    <row r="18" spans="2:38" x14ac:dyDescent="0.2">
      <c r="B18" s="5" t="s">
        <v>101</v>
      </c>
      <c r="C18" s="43">
        <f>((((VLOOKUP($B18,'TL6-12 Elements'!$A$2:$I$67,2,FALSE))*L18)*M18)*(1+P18+T18+X18+AB18+AF18+AJ18))*N18</f>
        <v>0</v>
      </c>
      <c r="D18" s="43" t="str">
        <f>VLOOKUP($B18,'TL6-12 Elements'!$A$2:$I$67,3,FALSE)</f>
        <v>-</v>
      </c>
      <c r="E18" s="43">
        <f t="shared" si="0"/>
        <v>0</v>
      </c>
      <c r="F18" s="43" t="str">
        <f>VLOOKUP($B18,'TL6-12 Elements'!$A$2:$I$67,4,FALSE)</f>
        <v>-</v>
      </c>
      <c r="G18" s="43" t="str">
        <f>VLOOKUP($B18,'TL6-12 Elements'!$A$2:$I$67,5,FALSE)</f>
        <v>-</v>
      </c>
      <c r="H18" s="43" t="str">
        <f>VLOOKUP($B18,'TL6-12 Elements'!$A$2:$I$67,6,FALSE)</f>
        <v>-</v>
      </c>
      <c r="I18" s="45">
        <f>(((VLOOKUP($B18,'TL6-12 Elements'!$A$2:$I$67,7,FALSE))*M18)*(1+Q18+U18+Y18+AC18+AG18+AK18))*N18</f>
        <v>0</v>
      </c>
      <c r="J18" s="45">
        <f>(((VLOOKUP($B18,'TL6-12 Elements'!$A$2:$I$67,8,FALSE))*M18)*(1+R18+V18+Z18+AD18+AH18+AL18))*N18</f>
        <v>0</v>
      </c>
      <c r="K18" s="10">
        <v>7</v>
      </c>
      <c r="L18" s="10">
        <f>IF(VLOOKUP($B18,'TL6-12 Elements'!$A$2:$I$67,9,FALSE)-$K18=0,1,IF(VLOOKUP($B18,'TL6-12 Elements'!$A$2:$I$67,9,FALSE)-$K18=-1,2,IF(VLOOKUP($B18,'TL6-12 Elements'!$A$2:$I$67,9,FALSE)-$K18=-2,4,IF(VLOOKUP($B18,'TL6-12 Elements'!$A$2:$I$67,9,FALSE)-$K18=-3,8,IF(VLOOKUP($B18,'TL6-12 Elements'!$A$2:$I$67,9,FALSE)-$K18=-4,16,"Invalid")))))</f>
        <v>2</v>
      </c>
      <c r="M18" s="10">
        <v>1</v>
      </c>
      <c r="N18" s="44">
        <v>1</v>
      </c>
      <c r="O18" s="2" t="s">
        <v>138</v>
      </c>
      <c r="P18" s="2">
        <f>VLOOKUP(O18,'Equipment &amp; Troop Q'!$A$3:$D$7,2,FALSE)</f>
        <v>0</v>
      </c>
      <c r="Q18" s="2">
        <f>VLOOKUP($O18,'Equipment &amp; Troop Q'!$A$3:$D$7,3,FALSE)</f>
        <v>0</v>
      </c>
      <c r="R18" s="2">
        <f>VLOOKUP($O18,'Equipment &amp; Troop Q'!$A$3:$D$7,4,FALSE)</f>
        <v>0</v>
      </c>
      <c r="S18" s="2" t="s">
        <v>141</v>
      </c>
      <c r="T18" s="2">
        <f>VLOOKUP($S18,'Equipment &amp; Troop Q'!$A$13:$D$16,2,FALSE)</f>
        <v>0</v>
      </c>
      <c r="U18" s="2">
        <f>IF(OR(W18="Fanatic",AA18="Fanatic",AE18="Fanatic",AI18="Fanatic"),VLOOKUP($S18,'Equipment &amp; Troop Q'!$A$18:$D$19,3,FALSE),VLOOKUP($S18,'Equipment &amp; Troop Q'!$A$13:$D$16,3,FALSE))</f>
        <v>0</v>
      </c>
      <c r="V18" s="2">
        <f>VLOOKUP($S18,'Equipment &amp; Troop Q'!$A$13:$D$16,4,FALSE)</f>
        <v>0</v>
      </c>
      <c r="W18" s="2" t="s">
        <v>101</v>
      </c>
      <c r="X18" s="2">
        <f>VLOOKUP($W18,'Equipment &amp; Troop Q'!$F$3:$I$30,2,FALSE)</f>
        <v>0</v>
      </c>
      <c r="Y18" s="2">
        <f>VLOOKUP($W18,'Equipment &amp; Troop Q'!$F$3:$I$30,3,FALSE)</f>
        <v>0</v>
      </c>
      <c r="Z18" s="2">
        <f>VLOOKUP($W18,'Equipment &amp; Troop Q'!$F$3:$I$30,4,FALSE)</f>
        <v>0</v>
      </c>
      <c r="AA18" s="2" t="s">
        <v>101</v>
      </c>
      <c r="AB18" s="2">
        <f>VLOOKUP($AA18,'Equipment &amp; Troop Q'!$F$3:$I$30,2,FALSE)</f>
        <v>0</v>
      </c>
      <c r="AC18" s="2">
        <f>VLOOKUP($AA18,'Equipment &amp; Troop Q'!$F$3:$I$30,3,FALSE)</f>
        <v>0</v>
      </c>
      <c r="AD18" s="2">
        <f>VLOOKUP($AA18,'Equipment &amp; Troop Q'!$F$3:$I$30,4,FALSE)</f>
        <v>0</v>
      </c>
      <c r="AE18" s="2" t="s">
        <v>101</v>
      </c>
      <c r="AF18" s="2">
        <f>VLOOKUP($AE18,'Equipment &amp; Troop Q'!$F$3:$I$30,2,FALSE)</f>
        <v>0</v>
      </c>
      <c r="AG18" s="2">
        <f>VLOOKUP($AE18,'Equipment &amp; Troop Q'!$F$3:$I$30,3,FALSE)</f>
        <v>0</v>
      </c>
      <c r="AH18" s="2">
        <f>VLOOKUP($AE18,'Equipment &amp; Troop Q'!$F$3:$I$30,4,FALSE)</f>
        <v>0</v>
      </c>
      <c r="AI18" s="2" t="s">
        <v>101</v>
      </c>
      <c r="AJ18" s="2">
        <f>VLOOKUP($AI18,'Equipment &amp; Troop Q'!$F$3:$I$30,2,FALSE)</f>
        <v>0</v>
      </c>
      <c r="AK18" s="2">
        <f>VLOOKUP($AI18,'Equipment &amp; Troop Q'!$F$3:$I$30,3,FALSE)</f>
        <v>0</v>
      </c>
      <c r="AL18" s="2">
        <f>VLOOKUP($AI18,'Equipment &amp; Troop Q'!$F$3:$I$30,4,FALSE)</f>
        <v>0</v>
      </c>
    </row>
    <row r="19" spans="2:38" x14ac:dyDescent="0.2">
      <c r="B19" s="5" t="s">
        <v>101</v>
      </c>
      <c r="C19" s="43">
        <f>((((VLOOKUP($B19,'TL6-12 Elements'!$A$2:$I$67,2,FALSE))*L19)*M19)*(1+P19+T19+X19+AB19+AF19+AJ19))*N19</f>
        <v>0</v>
      </c>
      <c r="D19" s="43" t="str">
        <f>VLOOKUP($B19,'TL6-12 Elements'!$A$2:$I$67,3,FALSE)</f>
        <v>-</v>
      </c>
      <c r="E19" s="43">
        <f t="shared" si="0"/>
        <v>0</v>
      </c>
      <c r="F19" s="43" t="str">
        <f>VLOOKUP($B19,'TL6-12 Elements'!$A$2:$I$67,4,FALSE)</f>
        <v>-</v>
      </c>
      <c r="G19" s="43" t="str">
        <f>VLOOKUP($B19,'TL6-12 Elements'!$A$2:$I$67,5,FALSE)</f>
        <v>-</v>
      </c>
      <c r="H19" s="43" t="str">
        <f>VLOOKUP($B19,'TL6-12 Elements'!$A$2:$I$67,6,FALSE)</f>
        <v>-</v>
      </c>
      <c r="I19" s="45">
        <f>(((VLOOKUP($B19,'TL6-12 Elements'!$A$2:$I$67,7,FALSE))*M19)*(1+Q19+U19+Y19+AC19+AG19+AK19))*N19</f>
        <v>0</v>
      </c>
      <c r="J19" s="45">
        <f>(((VLOOKUP($B19,'TL6-12 Elements'!$A$2:$I$67,8,FALSE))*M19)*(1+R19+V19+Z19+AD19+AH19+AL19))*N19</f>
        <v>0</v>
      </c>
      <c r="K19" s="10">
        <v>7</v>
      </c>
      <c r="L19" s="10">
        <f>IF(VLOOKUP($B19,'TL6-12 Elements'!$A$2:$I$67,9,FALSE)-$K19=0,1,IF(VLOOKUP($B19,'TL6-12 Elements'!$A$2:$I$67,9,FALSE)-$K19=-1,2,IF(VLOOKUP($B19,'TL6-12 Elements'!$A$2:$I$67,9,FALSE)-$K19=-2,4,IF(VLOOKUP($B19,'TL6-12 Elements'!$A$2:$I$67,9,FALSE)-$K19=-3,8,IF(VLOOKUP($B19,'TL6-12 Elements'!$A$2:$I$67,9,FALSE)-$K19=-4,16,"Invalid")))))</f>
        <v>2</v>
      </c>
      <c r="M19" s="10">
        <v>1</v>
      </c>
      <c r="N19" s="44">
        <v>1</v>
      </c>
      <c r="O19" s="2" t="s">
        <v>138</v>
      </c>
      <c r="P19" s="2">
        <f>VLOOKUP(O19,'Equipment &amp; Troop Q'!$A$3:$D$7,2,FALSE)</f>
        <v>0</v>
      </c>
      <c r="Q19" s="2">
        <f>VLOOKUP($O19,'Equipment &amp; Troop Q'!$A$3:$D$7,3,FALSE)</f>
        <v>0</v>
      </c>
      <c r="R19" s="2">
        <f>VLOOKUP($O19,'Equipment &amp; Troop Q'!$A$3:$D$7,4,FALSE)</f>
        <v>0</v>
      </c>
      <c r="S19" s="2" t="s">
        <v>141</v>
      </c>
      <c r="T19" s="2">
        <f>VLOOKUP($S19,'Equipment &amp; Troop Q'!$A$13:$D$16,2,FALSE)</f>
        <v>0</v>
      </c>
      <c r="U19" s="2">
        <f>IF(OR(W19="Fanatic",AA19="Fanatic",AE19="Fanatic",AI19="Fanatic"),VLOOKUP($S19,'Equipment &amp; Troop Q'!$A$18:$D$19,3,FALSE),VLOOKUP($S19,'Equipment &amp; Troop Q'!$A$13:$D$16,3,FALSE))</f>
        <v>0</v>
      </c>
      <c r="V19" s="2">
        <f>VLOOKUP($S19,'Equipment &amp; Troop Q'!$A$13:$D$16,4,FALSE)</f>
        <v>0</v>
      </c>
      <c r="W19" s="2" t="s">
        <v>101</v>
      </c>
      <c r="X19" s="2">
        <f>VLOOKUP($W19,'Equipment &amp; Troop Q'!$F$3:$I$30,2,FALSE)</f>
        <v>0</v>
      </c>
      <c r="Y19" s="2">
        <f>VLOOKUP($W19,'Equipment &amp; Troop Q'!$F$3:$I$30,3,FALSE)</f>
        <v>0</v>
      </c>
      <c r="Z19" s="2">
        <f>VLOOKUP($W19,'Equipment &amp; Troop Q'!$F$3:$I$30,4,FALSE)</f>
        <v>0</v>
      </c>
      <c r="AA19" s="2" t="s">
        <v>101</v>
      </c>
      <c r="AB19" s="2">
        <f>VLOOKUP($AA19,'Equipment &amp; Troop Q'!$F$3:$I$30,2,FALSE)</f>
        <v>0</v>
      </c>
      <c r="AC19" s="2">
        <f>VLOOKUP($AA19,'Equipment &amp; Troop Q'!$F$3:$I$30,3,FALSE)</f>
        <v>0</v>
      </c>
      <c r="AD19" s="2">
        <f>VLOOKUP($AA19,'Equipment &amp; Troop Q'!$F$3:$I$30,4,FALSE)</f>
        <v>0</v>
      </c>
      <c r="AE19" s="2" t="s">
        <v>101</v>
      </c>
      <c r="AF19" s="2">
        <f>VLOOKUP($AE19,'Equipment &amp; Troop Q'!$F$3:$I$30,2,FALSE)</f>
        <v>0</v>
      </c>
      <c r="AG19" s="2">
        <f>VLOOKUP($AE19,'Equipment &amp; Troop Q'!$F$3:$I$30,3,FALSE)</f>
        <v>0</v>
      </c>
      <c r="AH19" s="2">
        <f>VLOOKUP($AE19,'Equipment &amp; Troop Q'!$F$3:$I$30,4,FALSE)</f>
        <v>0</v>
      </c>
      <c r="AI19" s="2" t="s">
        <v>101</v>
      </c>
      <c r="AJ19" s="2">
        <f>VLOOKUP($AI19,'Equipment &amp; Troop Q'!$F$3:$I$30,2,FALSE)</f>
        <v>0</v>
      </c>
      <c r="AK19" s="2">
        <f>VLOOKUP($AI19,'Equipment &amp; Troop Q'!$F$3:$I$30,3,FALSE)</f>
        <v>0</v>
      </c>
      <c r="AL19" s="2">
        <f>VLOOKUP($AI19,'Equipment &amp; Troop Q'!$F$3:$I$30,4,FALSE)</f>
        <v>0</v>
      </c>
    </row>
    <row r="20" spans="2:38" x14ac:dyDescent="0.2">
      <c r="B20" s="5" t="s">
        <v>101</v>
      </c>
      <c r="C20" s="43">
        <f>((((VLOOKUP($B20,'TL6-12 Elements'!$A$2:$I$67,2,FALSE))*L20)*M20)*(1+P20+T20+X20+AB20+AF20+AJ20))*N20</f>
        <v>0</v>
      </c>
      <c r="D20" s="43" t="str">
        <f>VLOOKUP($B20,'TL6-12 Elements'!$A$2:$I$67,3,FALSE)</f>
        <v>-</v>
      </c>
      <c r="E20" s="43">
        <f t="shared" si="0"/>
        <v>0</v>
      </c>
      <c r="F20" s="43" t="str">
        <f>VLOOKUP($B20,'TL6-12 Elements'!$A$2:$I$67,4,FALSE)</f>
        <v>-</v>
      </c>
      <c r="G20" s="43" t="str">
        <f>VLOOKUP($B20,'TL6-12 Elements'!$A$2:$I$67,5,FALSE)</f>
        <v>-</v>
      </c>
      <c r="H20" s="43" t="str">
        <f>VLOOKUP($B20,'TL6-12 Elements'!$A$2:$I$67,6,FALSE)</f>
        <v>-</v>
      </c>
      <c r="I20" s="45">
        <f>(((VLOOKUP($B20,'TL6-12 Elements'!$A$2:$I$67,7,FALSE))*M20)*(1+Q20+U20+Y20+AC20+AG20+AK20))*N20</f>
        <v>0</v>
      </c>
      <c r="J20" s="45">
        <f>(((VLOOKUP($B20,'TL6-12 Elements'!$A$2:$I$67,8,FALSE))*M20)*(1+R20+V20+Z20+AD20+AH20+AL20))*N20</f>
        <v>0</v>
      </c>
      <c r="K20" s="10">
        <v>7</v>
      </c>
      <c r="L20" s="10">
        <f>IF(VLOOKUP($B20,'TL6-12 Elements'!$A$2:$I$67,9,FALSE)-$K20=0,1,IF(VLOOKUP($B20,'TL6-12 Elements'!$A$2:$I$67,9,FALSE)-$K20=-1,2,IF(VLOOKUP($B20,'TL6-12 Elements'!$A$2:$I$67,9,FALSE)-$K20=-2,4,IF(VLOOKUP($B20,'TL6-12 Elements'!$A$2:$I$67,9,FALSE)-$K20=-3,8,IF(VLOOKUP($B20,'TL6-12 Elements'!$A$2:$I$67,9,FALSE)-$K20=-4,16,"Invalid")))))</f>
        <v>2</v>
      </c>
      <c r="M20" s="10">
        <v>1</v>
      </c>
      <c r="N20" s="44">
        <v>1</v>
      </c>
      <c r="O20" s="2" t="s">
        <v>138</v>
      </c>
      <c r="P20" s="2">
        <f>VLOOKUP(O20,'Equipment &amp; Troop Q'!$A$3:$D$7,2,FALSE)</f>
        <v>0</v>
      </c>
      <c r="Q20" s="2">
        <f>VLOOKUP($O20,'Equipment &amp; Troop Q'!$A$3:$D$7,3,FALSE)</f>
        <v>0</v>
      </c>
      <c r="R20" s="2">
        <f>VLOOKUP($O20,'Equipment &amp; Troop Q'!$A$3:$D$7,4,FALSE)</f>
        <v>0</v>
      </c>
      <c r="S20" s="2" t="s">
        <v>141</v>
      </c>
      <c r="T20" s="2">
        <f>VLOOKUP($S20,'Equipment &amp; Troop Q'!$A$13:$D$16,2,FALSE)</f>
        <v>0</v>
      </c>
      <c r="U20" s="2">
        <f>IF(OR(W20="Fanatic",AA20="Fanatic",AE20="Fanatic",AI20="Fanatic"),VLOOKUP($S20,'Equipment &amp; Troop Q'!$A$18:$D$19,3,FALSE),VLOOKUP($S20,'Equipment &amp; Troop Q'!$A$13:$D$16,3,FALSE))</f>
        <v>0</v>
      </c>
      <c r="V20" s="2">
        <f>VLOOKUP($S20,'Equipment &amp; Troop Q'!$A$13:$D$16,4,FALSE)</f>
        <v>0</v>
      </c>
      <c r="W20" s="2" t="s">
        <v>101</v>
      </c>
      <c r="X20" s="2">
        <f>VLOOKUP($W20,'Equipment &amp; Troop Q'!$F$3:$I$30,2,FALSE)</f>
        <v>0</v>
      </c>
      <c r="Y20" s="2">
        <f>VLOOKUP($W20,'Equipment &amp; Troop Q'!$F$3:$I$30,3,FALSE)</f>
        <v>0</v>
      </c>
      <c r="Z20" s="2">
        <f>VLOOKUP($W20,'Equipment &amp; Troop Q'!$F$3:$I$30,4,FALSE)</f>
        <v>0</v>
      </c>
      <c r="AA20" s="2" t="s">
        <v>101</v>
      </c>
      <c r="AB20" s="2">
        <f>VLOOKUP($AA20,'Equipment &amp; Troop Q'!$F$3:$I$30,2,FALSE)</f>
        <v>0</v>
      </c>
      <c r="AC20" s="2">
        <f>VLOOKUP($AA20,'Equipment &amp; Troop Q'!$F$3:$I$30,3,FALSE)</f>
        <v>0</v>
      </c>
      <c r="AD20" s="2">
        <f>VLOOKUP($AA20,'Equipment &amp; Troop Q'!$F$3:$I$30,4,FALSE)</f>
        <v>0</v>
      </c>
      <c r="AE20" s="2" t="s">
        <v>101</v>
      </c>
      <c r="AF20" s="2">
        <f>VLOOKUP($AE20,'Equipment &amp; Troop Q'!$F$3:$I$30,2,FALSE)</f>
        <v>0</v>
      </c>
      <c r="AG20" s="2">
        <f>VLOOKUP($AE20,'Equipment &amp; Troop Q'!$F$3:$I$30,3,FALSE)</f>
        <v>0</v>
      </c>
      <c r="AH20" s="2">
        <f>VLOOKUP($AE20,'Equipment &amp; Troop Q'!$F$3:$I$30,4,FALSE)</f>
        <v>0</v>
      </c>
      <c r="AI20" s="2" t="s">
        <v>101</v>
      </c>
      <c r="AJ20" s="2">
        <f>VLOOKUP($AI20,'Equipment &amp; Troop Q'!$F$3:$I$30,2,FALSE)</f>
        <v>0</v>
      </c>
      <c r="AK20" s="2">
        <f>VLOOKUP($AI20,'Equipment &amp; Troop Q'!$F$3:$I$30,3,FALSE)</f>
        <v>0</v>
      </c>
      <c r="AL20" s="2">
        <f>VLOOKUP($AI20,'Equipment &amp; Troop Q'!$F$3:$I$30,4,FALSE)</f>
        <v>0</v>
      </c>
    </row>
    <row r="21" spans="2:38" x14ac:dyDescent="0.2">
      <c r="B21" s="5" t="s">
        <v>101</v>
      </c>
      <c r="C21" s="43">
        <f>((((VLOOKUP($B21,'TL6-12 Elements'!$A$2:$I$67,2,FALSE))*L21)*M21)*(1+P21+T21+X21+AB21+AF21+AJ21))*N21</f>
        <v>0</v>
      </c>
      <c r="D21" s="43" t="str">
        <f>VLOOKUP($B21,'TL6-12 Elements'!$A$2:$I$67,3,FALSE)</f>
        <v>-</v>
      </c>
      <c r="E21" s="43">
        <f t="shared" si="0"/>
        <v>0</v>
      </c>
      <c r="F21" s="43" t="str">
        <f>VLOOKUP($B21,'TL6-12 Elements'!$A$2:$I$67,4,FALSE)</f>
        <v>-</v>
      </c>
      <c r="G21" s="43" t="str">
        <f>VLOOKUP($B21,'TL6-12 Elements'!$A$2:$I$67,5,FALSE)</f>
        <v>-</v>
      </c>
      <c r="H21" s="43" t="str">
        <f>VLOOKUP($B21,'TL6-12 Elements'!$A$2:$I$67,6,FALSE)</f>
        <v>-</v>
      </c>
      <c r="I21" s="45">
        <f>(((VLOOKUP($B21,'TL6-12 Elements'!$A$2:$I$67,7,FALSE))*M21)*(1+Q21+U21+Y21+AC21+AG21+AK21))*N21</f>
        <v>0</v>
      </c>
      <c r="J21" s="45">
        <f>(((VLOOKUP($B21,'TL6-12 Elements'!$A$2:$I$67,8,FALSE))*M21)*(1+R21+V21+Z21+AD21+AH21+AL21))*N21</f>
        <v>0</v>
      </c>
      <c r="K21" s="10">
        <v>7</v>
      </c>
      <c r="L21" s="10">
        <f>IF(VLOOKUP($B21,'TL6-12 Elements'!$A$2:$I$67,9,FALSE)-$K21=0,1,IF(VLOOKUP($B21,'TL6-12 Elements'!$A$2:$I$67,9,FALSE)-$K21=-1,2,IF(VLOOKUP($B21,'TL6-12 Elements'!$A$2:$I$67,9,FALSE)-$K21=-2,4,IF(VLOOKUP($B21,'TL6-12 Elements'!$A$2:$I$67,9,FALSE)-$K21=-3,8,IF(VLOOKUP($B21,'TL6-12 Elements'!$A$2:$I$67,9,FALSE)-$K21=-4,16,"Invalid")))))</f>
        <v>2</v>
      </c>
      <c r="M21" s="10">
        <v>1</v>
      </c>
      <c r="N21" s="44">
        <v>1</v>
      </c>
      <c r="O21" s="2" t="s">
        <v>138</v>
      </c>
      <c r="P21" s="2">
        <f>VLOOKUP(O21,'Equipment &amp; Troop Q'!$A$3:$D$7,2,FALSE)</f>
        <v>0</v>
      </c>
      <c r="Q21" s="2">
        <f>VLOOKUP($O21,'Equipment &amp; Troop Q'!$A$3:$D$7,3,FALSE)</f>
        <v>0</v>
      </c>
      <c r="R21" s="2">
        <f>VLOOKUP($O21,'Equipment &amp; Troop Q'!$A$3:$D$7,4,FALSE)</f>
        <v>0</v>
      </c>
      <c r="S21" s="2" t="s">
        <v>141</v>
      </c>
      <c r="T21" s="2">
        <f>VLOOKUP($S21,'Equipment &amp; Troop Q'!$A$13:$D$16,2,FALSE)</f>
        <v>0</v>
      </c>
      <c r="U21" s="2">
        <f>IF(OR(W21="Fanatic",AA21="Fanatic",AE21="Fanatic",AI21="Fanatic"),VLOOKUP($S21,'Equipment &amp; Troop Q'!$A$18:$D$19,3,FALSE),VLOOKUP($S21,'Equipment &amp; Troop Q'!$A$13:$D$16,3,FALSE))</f>
        <v>0</v>
      </c>
      <c r="V21" s="2">
        <f>VLOOKUP($S21,'Equipment &amp; Troop Q'!$A$13:$D$16,4,FALSE)</f>
        <v>0</v>
      </c>
      <c r="W21" s="2" t="s">
        <v>101</v>
      </c>
      <c r="X21" s="2">
        <f>VLOOKUP($W21,'Equipment &amp; Troop Q'!$F$3:$I$30,2,FALSE)</f>
        <v>0</v>
      </c>
      <c r="Y21" s="2">
        <f>VLOOKUP($W21,'Equipment &amp; Troop Q'!$F$3:$I$30,3,FALSE)</f>
        <v>0</v>
      </c>
      <c r="Z21" s="2">
        <f>VLOOKUP($W21,'Equipment &amp; Troop Q'!$F$3:$I$30,4,FALSE)</f>
        <v>0</v>
      </c>
      <c r="AA21" s="2" t="s">
        <v>101</v>
      </c>
      <c r="AB21" s="2">
        <f>VLOOKUP($AA21,'Equipment &amp; Troop Q'!$F$3:$I$30,2,FALSE)</f>
        <v>0</v>
      </c>
      <c r="AC21" s="2">
        <f>VLOOKUP($AA21,'Equipment &amp; Troop Q'!$F$3:$I$30,3,FALSE)</f>
        <v>0</v>
      </c>
      <c r="AD21" s="2">
        <f>VLOOKUP($AA21,'Equipment &amp; Troop Q'!$F$3:$I$30,4,FALSE)</f>
        <v>0</v>
      </c>
      <c r="AE21" s="2" t="s">
        <v>101</v>
      </c>
      <c r="AF21" s="2">
        <f>VLOOKUP($AE21,'Equipment &amp; Troop Q'!$F$3:$I$30,2,FALSE)</f>
        <v>0</v>
      </c>
      <c r="AG21" s="2">
        <f>VLOOKUP($AE21,'Equipment &amp; Troop Q'!$F$3:$I$30,3,FALSE)</f>
        <v>0</v>
      </c>
      <c r="AH21" s="2">
        <f>VLOOKUP($AE21,'Equipment &amp; Troop Q'!$F$3:$I$30,4,FALSE)</f>
        <v>0</v>
      </c>
      <c r="AI21" s="2" t="s">
        <v>101</v>
      </c>
      <c r="AJ21" s="2">
        <f>VLOOKUP($AI21,'Equipment &amp; Troop Q'!$F$3:$I$30,2,FALSE)</f>
        <v>0</v>
      </c>
      <c r="AK21" s="2">
        <f>VLOOKUP($AI21,'Equipment &amp; Troop Q'!$F$3:$I$30,3,FALSE)</f>
        <v>0</v>
      </c>
      <c r="AL21" s="2">
        <f>VLOOKUP($AI21,'Equipment &amp; Troop Q'!$F$3:$I$30,4,FALSE)</f>
        <v>0</v>
      </c>
    </row>
    <row r="22" spans="2:38" x14ac:dyDescent="0.2">
      <c r="B22" s="5" t="s">
        <v>101</v>
      </c>
      <c r="C22" s="43">
        <f>((((VLOOKUP($B22,'TL6-12 Elements'!$A$2:$I$67,2,FALSE))*L22)*M22)*(1+P22+T22+X22+AB22+AF22+AJ22))*N22</f>
        <v>0</v>
      </c>
      <c r="D22" s="43" t="str">
        <f>VLOOKUP($B22,'TL6-12 Elements'!$A$2:$I$67,3,FALSE)</f>
        <v>-</v>
      </c>
      <c r="E22" s="43">
        <f t="shared" si="0"/>
        <v>0</v>
      </c>
      <c r="F22" s="43" t="str">
        <f>VLOOKUP($B22,'TL6-12 Elements'!$A$2:$I$67,4,FALSE)</f>
        <v>-</v>
      </c>
      <c r="G22" s="43" t="str">
        <f>VLOOKUP($B22,'TL6-12 Elements'!$A$2:$I$67,5,FALSE)</f>
        <v>-</v>
      </c>
      <c r="H22" s="43" t="str">
        <f>VLOOKUP($B22,'TL6-12 Elements'!$A$2:$I$67,6,FALSE)</f>
        <v>-</v>
      </c>
      <c r="I22" s="45">
        <f>(((VLOOKUP($B22,'TL6-12 Elements'!$A$2:$I$67,7,FALSE))*M22)*(1+Q22+U22+Y22+AC22+AG22+AK22))*N22</f>
        <v>0</v>
      </c>
      <c r="J22" s="45">
        <f>(((VLOOKUP($B22,'TL6-12 Elements'!$A$2:$I$67,8,FALSE))*M22)*(1+R22+V22+Z22+AD22+AH22+AL22))*N22</f>
        <v>0</v>
      </c>
      <c r="K22" s="10">
        <v>7</v>
      </c>
      <c r="L22" s="10">
        <f>IF(VLOOKUP($B22,'TL6-12 Elements'!$A$2:$I$67,9,FALSE)-$K22=0,1,IF(VLOOKUP($B22,'TL6-12 Elements'!$A$2:$I$67,9,FALSE)-$K22=-1,2,IF(VLOOKUP($B22,'TL6-12 Elements'!$A$2:$I$67,9,FALSE)-$K22=-2,4,IF(VLOOKUP($B22,'TL6-12 Elements'!$A$2:$I$67,9,FALSE)-$K22=-3,8,IF(VLOOKUP($B22,'TL6-12 Elements'!$A$2:$I$67,9,FALSE)-$K22=-4,16,"Invalid")))))</f>
        <v>2</v>
      </c>
      <c r="M22" s="10">
        <v>1</v>
      </c>
      <c r="N22" s="44">
        <v>1</v>
      </c>
      <c r="O22" s="2" t="s">
        <v>138</v>
      </c>
      <c r="P22" s="2">
        <f>VLOOKUP(O22,'Equipment &amp; Troop Q'!$A$3:$D$7,2,FALSE)</f>
        <v>0</v>
      </c>
      <c r="Q22" s="2">
        <f>VLOOKUP($O22,'Equipment &amp; Troop Q'!$A$3:$D$7,3,FALSE)</f>
        <v>0</v>
      </c>
      <c r="R22" s="2">
        <f>VLOOKUP($O22,'Equipment &amp; Troop Q'!$A$3:$D$7,4,FALSE)</f>
        <v>0</v>
      </c>
      <c r="S22" s="2" t="s">
        <v>141</v>
      </c>
      <c r="T22" s="2">
        <f>VLOOKUP($S22,'Equipment &amp; Troop Q'!$A$13:$D$16,2,FALSE)</f>
        <v>0</v>
      </c>
      <c r="U22" s="2">
        <f>IF(OR(W22="Fanatic",AA22="Fanatic",AE22="Fanatic",AI22="Fanatic"),VLOOKUP($S22,'Equipment &amp; Troop Q'!$A$18:$D$19,3,FALSE),VLOOKUP($S22,'Equipment &amp; Troop Q'!$A$13:$D$16,3,FALSE))</f>
        <v>0</v>
      </c>
      <c r="V22" s="2">
        <f>VLOOKUP($S22,'Equipment &amp; Troop Q'!$A$13:$D$16,4,FALSE)</f>
        <v>0</v>
      </c>
      <c r="W22" s="2" t="s">
        <v>101</v>
      </c>
      <c r="X22" s="2">
        <f>VLOOKUP($W22,'Equipment &amp; Troop Q'!$F$3:$I$30,2,FALSE)</f>
        <v>0</v>
      </c>
      <c r="Y22" s="2">
        <f>VLOOKUP($W22,'Equipment &amp; Troop Q'!$F$3:$I$30,3,FALSE)</f>
        <v>0</v>
      </c>
      <c r="Z22" s="2">
        <f>VLOOKUP($W22,'Equipment &amp; Troop Q'!$F$3:$I$30,4,FALSE)</f>
        <v>0</v>
      </c>
      <c r="AA22" s="2" t="s">
        <v>101</v>
      </c>
      <c r="AB22" s="2">
        <f>VLOOKUP($AA22,'Equipment &amp; Troop Q'!$F$3:$I$30,2,FALSE)</f>
        <v>0</v>
      </c>
      <c r="AC22" s="2">
        <f>VLOOKUP($AA22,'Equipment &amp; Troop Q'!$F$3:$I$30,3,FALSE)</f>
        <v>0</v>
      </c>
      <c r="AD22" s="2">
        <f>VLOOKUP($AA22,'Equipment &amp; Troop Q'!$F$3:$I$30,4,FALSE)</f>
        <v>0</v>
      </c>
      <c r="AE22" s="2" t="s">
        <v>101</v>
      </c>
      <c r="AF22" s="2">
        <f>VLOOKUP($AE22,'Equipment &amp; Troop Q'!$F$3:$I$30,2,FALSE)</f>
        <v>0</v>
      </c>
      <c r="AG22" s="2">
        <f>VLOOKUP($AE22,'Equipment &amp; Troop Q'!$F$3:$I$30,3,FALSE)</f>
        <v>0</v>
      </c>
      <c r="AH22" s="2">
        <f>VLOOKUP($AE22,'Equipment &amp; Troop Q'!$F$3:$I$30,4,FALSE)</f>
        <v>0</v>
      </c>
      <c r="AI22" s="2" t="s">
        <v>101</v>
      </c>
      <c r="AJ22" s="2">
        <f>VLOOKUP($AI22,'Equipment &amp; Troop Q'!$F$3:$I$30,2,FALSE)</f>
        <v>0</v>
      </c>
      <c r="AK22" s="2">
        <f>VLOOKUP($AI22,'Equipment &amp; Troop Q'!$F$3:$I$30,3,FALSE)</f>
        <v>0</v>
      </c>
      <c r="AL22" s="2">
        <f>VLOOKUP($AI22,'Equipment &amp; Troop Q'!$F$3:$I$30,4,FALSE)</f>
        <v>0</v>
      </c>
    </row>
    <row r="23" spans="2:38" x14ac:dyDescent="0.2">
      <c r="B23" s="5" t="s">
        <v>101</v>
      </c>
      <c r="C23" s="43">
        <f>((((VLOOKUP($B23,'TL6-12 Elements'!$A$2:$I$67,2,FALSE))*L23)*M23)*(1+P23+T23+X23+AB23+AF23+AJ23))*N23</f>
        <v>0</v>
      </c>
      <c r="D23" s="43" t="str">
        <f>VLOOKUP($B23,'TL6-12 Elements'!$A$2:$I$67,3,FALSE)</f>
        <v>-</v>
      </c>
      <c r="E23" s="43">
        <f t="shared" si="0"/>
        <v>0</v>
      </c>
      <c r="F23" s="43" t="str">
        <f>VLOOKUP($B23,'TL6-12 Elements'!$A$2:$I$67,4,FALSE)</f>
        <v>-</v>
      </c>
      <c r="G23" s="43" t="str">
        <f>VLOOKUP($B23,'TL6-12 Elements'!$A$2:$I$67,5,FALSE)</f>
        <v>-</v>
      </c>
      <c r="H23" s="43" t="str">
        <f>VLOOKUP($B23,'TL6-12 Elements'!$A$2:$I$67,6,FALSE)</f>
        <v>-</v>
      </c>
      <c r="I23" s="45">
        <f>(((VLOOKUP($B23,'TL6-12 Elements'!$A$2:$I$67,7,FALSE))*M23)*(1+Q23+U23+Y23+AC23+AG23+AK23))*N23</f>
        <v>0</v>
      </c>
      <c r="J23" s="45">
        <f>(((VLOOKUP($B23,'TL6-12 Elements'!$A$2:$I$67,8,FALSE))*M23)*(1+R23+V23+Z23+AD23+AH23+AL23))*N23</f>
        <v>0</v>
      </c>
      <c r="K23" s="10">
        <v>7</v>
      </c>
      <c r="L23" s="10">
        <f>IF(VLOOKUP($B23,'TL6-12 Elements'!$A$2:$I$67,9,FALSE)-$K23=0,1,IF(VLOOKUP($B23,'TL6-12 Elements'!$A$2:$I$67,9,FALSE)-$K23=-1,2,IF(VLOOKUP($B23,'TL6-12 Elements'!$A$2:$I$67,9,FALSE)-$K23=-2,4,IF(VLOOKUP($B23,'TL6-12 Elements'!$A$2:$I$67,9,FALSE)-$K23=-3,8,IF(VLOOKUP($B23,'TL6-12 Elements'!$A$2:$I$67,9,FALSE)-$K23=-4,16,"Invalid")))))</f>
        <v>2</v>
      </c>
      <c r="M23" s="10">
        <v>1</v>
      </c>
      <c r="N23" s="44">
        <v>1</v>
      </c>
      <c r="O23" s="2" t="s">
        <v>138</v>
      </c>
      <c r="P23" s="2">
        <f>VLOOKUP(O23,'Equipment &amp; Troop Q'!$A$3:$D$7,2,FALSE)</f>
        <v>0</v>
      </c>
      <c r="Q23" s="2">
        <f>VLOOKUP($O23,'Equipment &amp; Troop Q'!$A$3:$D$7,3,FALSE)</f>
        <v>0</v>
      </c>
      <c r="R23" s="2">
        <f>VLOOKUP($O23,'Equipment &amp; Troop Q'!$A$3:$D$7,4,FALSE)</f>
        <v>0</v>
      </c>
      <c r="S23" s="2" t="s">
        <v>141</v>
      </c>
      <c r="T23" s="2">
        <f>VLOOKUP($S23,'Equipment &amp; Troop Q'!$A$13:$D$16,2,FALSE)</f>
        <v>0</v>
      </c>
      <c r="U23" s="2">
        <f>IF(OR(W23="Fanatic",AA23="Fanatic",AE23="Fanatic",AI23="Fanatic"),VLOOKUP($S23,'Equipment &amp; Troop Q'!$A$18:$D$19,3,FALSE),VLOOKUP($S23,'Equipment &amp; Troop Q'!$A$13:$D$16,3,FALSE))</f>
        <v>0</v>
      </c>
      <c r="V23" s="2">
        <f>VLOOKUP($S23,'Equipment &amp; Troop Q'!$A$13:$D$16,4,FALSE)</f>
        <v>0</v>
      </c>
      <c r="W23" s="2" t="s">
        <v>101</v>
      </c>
      <c r="X23" s="2">
        <f>VLOOKUP($W23,'Equipment &amp; Troop Q'!$F$3:$I$30,2,FALSE)</f>
        <v>0</v>
      </c>
      <c r="Y23" s="2">
        <f>VLOOKUP($W23,'Equipment &amp; Troop Q'!$F$3:$I$30,3,FALSE)</f>
        <v>0</v>
      </c>
      <c r="Z23" s="2">
        <f>VLOOKUP($W23,'Equipment &amp; Troop Q'!$F$3:$I$30,4,FALSE)</f>
        <v>0</v>
      </c>
      <c r="AA23" s="2" t="s">
        <v>101</v>
      </c>
      <c r="AB23" s="2">
        <f>VLOOKUP($AA23,'Equipment &amp; Troop Q'!$F$3:$I$30,2,FALSE)</f>
        <v>0</v>
      </c>
      <c r="AC23" s="2">
        <f>VLOOKUP($AA23,'Equipment &amp; Troop Q'!$F$3:$I$30,3,FALSE)</f>
        <v>0</v>
      </c>
      <c r="AD23" s="2">
        <f>VLOOKUP($AA23,'Equipment &amp; Troop Q'!$F$3:$I$30,4,FALSE)</f>
        <v>0</v>
      </c>
      <c r="AE23" s="2" t="s">
        <v>101</v>
      </c>
      <c r="AF23" s="2">
        <f>VLOOKUP($AE23,'Equipment &amp; Troop Q'!$F$3:$I$30,2,FALSE)</f>
        <v>0</v>
      </c>
      <c r="AG23" s="2">
        <f>VLOOKUP($AE23,'Equipment &amp; Troop Q'!$F$3:$I$30,3,FALSE)</f>
        <v>0</v>
      </c>
      <c r="AH23" s="2">
        <f>VLOOKUP($AE23,'Equipment &amp; Troop Q'!$F$3:$I$30,4,FALSE)</f>
        <v>0</v>
      </c>
      <c r="AI23" s="2" t="s">
        <v>101</v>
      </c>
      <c r="AJ23" s="2">
        <f>VLOOKUP($AI23,'Equipment &amp; Troop Q'!$F$3:$I$30,2,FALSE)</f>
        <v>0</v>
      </c>
      <c r="AK23" s="2">
        <f>VLOOKUP($AI23,'Equipment &amp; Troop Q'!$F$3:$I$30,3,FALSE)</f>
        <v>0</v>
      </c>
      <c r="AL23" s="2">
        <f>VLOOKUP($AI23,'Equipment &amp; Troop Q'!$F$3:$I$30,4,FALSE)</f>
        <v>0</v>
      </c>
    </row>
    <row r="24" spans="2:38" x14ac:dyDescent="0.2">
      <c r="B24" s="5" t="s">
        <v>101</v>
      </c>
      <c r="C24" s="43">
        <f>((((VLOOKUP($B24,'TL6-12 Elements'!$A$2:$I$67,2,FALSE))*L24)*M24)*(1+P24+T24+X24+AB24+AF24+AJ24))*N24</f>
        <v>0</v>
      </c>
      <c r="D24" s="43" t="str">
        <f>VLOOKUP($B24,'TL6-12 Elements'!$A$2:$I$67,3,FALSE)</f>
        <v>-</v>
      </c>
      <c r="E24" s="43">
        <f t="shared" si="0"/>
        <v>0</v>
      </c>
      <c r="F24" s="43" t="str">
        <f>VLOOKUP($B24,'TL6-12 Elements'!$A$2:$I$67,4,FALSE)</f>
        <v>-</v>
      </c>
      <c r="G24" s="43" t="str">
        <f>VLOOKUP($B24,'TL6-12 Elements'!$A$2:$I$67,5,FALSE)</f>
        <v>-</v>
      </c>
      <c r="H24" s="43" t="str">
        <f>VLOOKUP($B24,'TL6-12 Elements'!$A$2:$I$67,6,FALSE)</f>
        <v>-</v>
      </c>
      <c r="I24" s="45">
        <f>(((VLOOKUP($B24,'TL6-12 Elements'!$A$2:$I$67,7,FALSE))*M24)*(1+Q24+U24+Y24+AC24+AG24+AK24))*N24</f>
        <v>0</v>
      </c>
      <c r="J24" s="45">
        <f>(((VLOOKUP($B24,'TL6-12 Elements'!$A$2:$I$67,8,FALSE))*M24)*(1+R24+V24+Z24+AD24+AH24+AL24))*N24</f>
        <v>0</v>
      </c>
      <c r="K24" s="10">
        <v>7</v>
      </c>
      <c r="L24" s="10">
        <f>IF(VLOOKUP($B24,'TL6-12 Elements'!$A$2:$I$67,9,FALSE)-$K24=0,1,IF(VLOOKUP($B24,'TL6-12 Elements'!$A$2:$I$67,9,FALSE)-$K24=-1,2,IF(VLOOKUP($B24,'TL6-12 Elements'!$A$2:$I$67,9,FALSE)-$K24=-2,4,IF(VLOOKUP($B24,'TL6-12 Elements'!$A$2:$I$67,9,FALSE)-$K24=-3,8,IF(VLOOKUP($B24,'TL6-12 Elements'!$A$2:$I$67,9,FALSE)-$K24=-4,16,"Invalid")))))</f>
        <v>2</v>
      </c>
      <c r="M24" s="10">
        <v>1</v>
      </c>
      <c r="N24" s="44">
        <v>1</v>
      </c>
      <c r="O24" s="2" t="s">
        <v>138</v>
      </c>
      <c r="P24" s="2">
        <f>VLOOKUP(O24,'Equipment &amp; Troop Q'!$A$3:$D$7,2,FALSE)</f>
        <v>0</v>
      </c>
      <c r="Q24" s="2">
        <f>VLOOKUP($O24,'Equipment &amp; Troop Q'!$A$3:$D$7,3,FALSE)</f>
        <v>0</v>
      </c>
      <c r="R24" s="2">
        <f>VLOOKUP($O24,'Equipment &amp; Troop Q'!$A$3:$D$7,4,FALSE)</f>
        <v>0</v>
      </c>
      <c r="S24" s="2" t="s">
        <v>141</v>
      </c>
      <c r="T24" s="2">
        <f>VLOOKUP($S24,'Equipment &amp; Troop Q'!$A$13:$D$16,2,FALSE)</f>
        <v>0</v>
      </c>
      <c r="U24" s="2">
        <f>IF(OR(W24="Fanatic",AA24="Fanatic",AE24="Fanatic",AI24="Fanatic"),VLOOKUP($S24,'Equipment &amp; Troop Q'!$A$18:$D$19,3,FALSE),VLOOKUP($S24,'Equipment &amp; Troop Q'!$A$13:$D$16,3,FALSE))</f>
        <v>0</v>
      </c>
      <c r="V24" s="2">
        <f>VLOOKUP($S24,'Equipment &amp; Troop Q'!$A$13:$D$16,4,FALSE)</f>
        <v>0</v>
      </c>
      <c r="W24" s="2" t="s">
        <v>101</v>
      </c>
      <c r="X24" s="2">
        <f>VLOOKUP($W24,'Equipment &amp; Troop Q'!$F$3:$I$30,2,FALSE)</f>
        <v>0</v>
      </c>
      <c r="Y24" s="2">
        <f>VLOOKUP($W24,'Equipment &amp; Troop Q'!$F$3:$I$30,3,FALSE)</f>
        <v>0</v>
      </c>
      <c r="Z24" s="2">
        <f>VLOOKUP($W24,'Equipment &amp; Troop Q'!$F$3:$I$30,4,FALSE)</f>
        <v>0</v>
      </c>
      <c r="AA24" s="2" t="s">
        <v>101</v>
      </c>
      <c r="AB24" s="2">
        <f>VLOOKUP($AA24,'Equipment &amp; Troop Q'!$F$3:$I$30,2,FALSE)</f>
        <v>0</v>
      </c>
      <c r="AC24" s="2">
        <f>VLOOKUP($AA24,'Equipment &amp; Troop Q'!$F$3:$I$30,3,FALSE)</f>
        <v>0</v>
      </c>
      <c r="AD24" s="2">
        <f>VLOOKUP($AA24,'Equipment &amp; Troop Q'!$F$3:$I$30,4,FALSE)</f>
        <v>0</v>
      </c>
      <c r="AE24" s="2" t="s">
        <v>101</v>
      </c>
      <c r="AF24" s="2">
        <f>VLOOKUP($AE24,'Equipment &amp; Troop Q'!$F$3:$I$30,2,FALSE)</f>
        <v>0</v>
      </c>
      <c r="AG24" s="2">
        <f>VLOOKUP($AE24,'Equipment &amp; Troop Q'!$F$3:$I$30,3,FALSE)</f>
        <v>0</v>
      </c>
      <c r="AH24" s="2">
        <f>VLOOKUP($AE24,'Equipment &amp; Troop Q'!$F$3:$I$30,4,FALSE)</f>
        <v>0</v>
      </c>
      <c r="AI24" s="2" t="s">
        <v>101</v>
      </c>
      <c r="AJ24" s="2">
        <f>VLOOKUP($AI24,'Equipment &amp; Troop Q'!$F$3:$I$30,2,FALSE)</f>
        <v>0</v>
      </c>
      <c r="AK24" s="2">
        <f>VLOOKUP($AI24,'Equipment &amp; Troop Q'!$F$3:$I$30,3,FALSE)</f>
        <v>0</v>
      </c>
      <c r="AL24" s="2">
        <f>VLOOKUP($AI24,'Equipment &amp; Troop Q'!$F$3:$I$30,4,FALSE)</f>
        <v>0</v>
      </c>
    </row>
    <row r="25" spans="2:38" x14ac:dyDescent="0.2">
      <c r="B25" s="5" t="s">
        <v>101</v>
      </c>
      <c r="C25" s="43">
        <f>((((VLOOKUP($B25,'TL6-12 Elements'!$A$2:$I$67,2,FALSE))*L25)*M25)*(1+P25+T25+X25+AB25+AF25+AJ25))*N25</f>
        <v>0</v>
      </c>
      <c r="D25" s="43" t="str">
        <f>VLOOKUP($B25,'TL6-12 Elements'!$A$2:$I$67,3,FALSE)</f>
        <v>-</v>
      </c>
      <c r="E25" s="43">
        <f t="shared" si="0"/>
        <v>0</v>
      </c>
      <c r="F25" s="43" t="str">
        <f>VLOOKUP($B25,'TL6-12 Elements'!$A$2:$I$67,4,FALSE)</f>
        <v>-</v>
      </c>
      <c r="G25" s="43" t="str">
        <f>VLOOKUP($B25,'TL6-12 Elements'!$A$2:$I$67,5,FALSE)</f>
        <v>-</v>
      </c>
      <c r="H25" s="43" t="str">
        <f>VLOOKUP($B25,'TL6-12 Elements'!$A$2:$I$67,6,FALSE)</f>
        <v>-</v>
      </c>
      <c r="I25" s="45">
        <f>(((VLOOKUP($B25,'TL6-12 Elements'!$A$2:$I$67,7,FALSE))*M25)*(1+Q25+U25+Y25+AC25+AG25+AK25))*N25</f>
        <v>0</v>
      </c>
      <c r="J25" s="45">
        <f>(((VLOOKUP($B25,'TL6-12 Elements'!$A$2:$I$67,8,FALSE))*M25)*(1+R25+V25+Z25+AD25+AH25+AL25))*N25</f>
        <v>0</v>
      </c>
      <c r="K25" s="10">
        <v>7</v>
      </c>
      <c r="L25" s="10">
        <f>IF(VLOOKUP($B25,'TL6-12 Elements'!$A$2:$I$67,9,FALSE)-$K25=0,1,IF(VLOOKUP($B25,'TL6-12 Elements'!$A$2:$I$67,9,FALSE)-$K25=-1,2,IF(VLOOKUP($B25,'TL6-12 Elements'!$A$2:$I$67,9,FALSE)-$K25=-2,4,IF(VLOOKUP($B25,'TL6-12 Elements'!$A$2:$I$67,9,FALSE)-$K25=-3,8,IF(VLOOKUP($B25,'TL6-12 Elements'!$A$2:$I$67,9,FALSE)-$K25=-4,16,"Invalid")))))</f>
        <v>2</v>
      </c>
      <c r="M25" s="10">
        <v>1</v>
      </c>
      <c r="N25" s="44">
        <v>1</v>
      </c>
      <c r="O25" s="2" t="s">
        <v>138</v>
      </c>
      <c r="P25" s="2">
        <f>VLOOKUP(O25,'Equipment &amp; Troop Q'!$A$3:$D$7,2,FALSE)</f>
        <v>0</v>
      </c>
      <c r="Q25" s="2">
        <f>VLOOKUP($O25,'Equipment &amp; Troop Q'!$A$3:$D$7,3,FALSE)</f>
        <v>0</v>
      </c>
      <c r="R25" s="2">
        <f>VLOOKUP($O25,'Equipment &amp; Troop Q'!$A$3:$D$7,4,FALSE)</f>
        <v>0</v>
      </c>
      <c r="S25" s="2" t="s">
        <v>141</v>
      </c>
      <c r="T25" s="2">
        <f>VLOOKUP($S25,'Equipment &amp; Troop Q'!$A$13:$D$16,2,FALSE)</f>
        <v>0</v>
      </c>
      <c r="U25" s="2">
        <f>IF(OR(W25="Fanatic",AA25="Fanatic",AE25="Fanatic",AI25="Fanatic"),VLOOKUP($S25,'Equipment &amp; Troop Q'!$A$18:$D$19,3,FALSE),VLOOKUP($S25,'Equipment &amp; Troop Q'!$A$13:$D$16,3,FALSE))</f>
        <v>0</v>
      </c>
      <c r="V25" s="2">
        <f>VLOOKUP($S25,'Equipment &amp; Troop Q'!$A$13:$D$16,4,FALSE)</f>
        <v>0</v>
      </c>
      <c r="W25" s="2" t="s">
        <v>101</v>
      </c>
      <c r="X25" s="2">
        <f>VLOOKUP($W25,'Equipment &amp; Troop Q'!$F$3:$I$30,2,FALSE)</f>
        <v>0</v>
      </c>
      <c r="Y25" s="2">
        <f>VLOOKUP($W25,'Equipment &amp; Troop Q'!$F$3:$I$30,3,FALSE)</f>
        <v>0</v>
      </c>
      <c r="Z25" s="2">
        <f>VLOOKUP($W25,'Equipment &amp; Troop Q'!$F$3:$I$30,4,FALSE)</f>
        <v>0</v>
      </c>
      <c r="AA25" s="2" t="s">
        <v>101</v>
      </c>
      <c r="AB25" s="2">
        <f>VLOOKUP($AA25,'Equipment &amp; Troop Q'!$F$3:$I$30,2,FALSE)</f>
        <v>0</v>
      </c>
      <c r="AC25" s="2">
        <f>VLOOKUP($AA25,'Equipment &amp; Troop Q'!$F$3:$I$30,3,FALSE)</f>
        <v>0</v>
      </c>
      <c r="AD25" s="2">
        <f>VLOOKUP($AA25,'Equipment &amp; Troop Q'!$F$3:$I$30,4,FALSE)</f>
        <v>0</v>
      </c>
      <c r="AE25" s="2" t="s">
        <v>101</v>
      </c>
      <c r="AF25" s="2">
        <f>VLOOKUP($AE25,'Equipment &amp; Troop Q'!$F$3:$I$30,2,FALSE)</f>
        <v>0</v>
      </c>
      <c r="AG25" s="2">
        <f>VLOOKUP($AE25,'Equipment &amp; Troop Q'!$F$3:$I$30,3,FALSE)</f>
        <v>0</v>
      </c>
      <c r="AH25" s="2">
        <f>VLOOKUP($AE25,'Equipment &amp; Troop Q'!$F$3:$I$30,4,FALSE)</f>
        <v>0</v>
      </c>
      <c r="AI25" s="2" t="s">
        <v>101</v>
      </c>
      <c r="AJ25" s="2">
        <f>VLOOKUP($AI25,'Equipment &amp; Troop Q'!$F$3:$I$30,2,FALSE)</f>
        <v>0</v>
      </c>
      <c r="AK25" s="2">
        <f>VLOOKUP($AI25,'Equipment &amp; Troop Q'!$F$3:$I$30,3,FALSE)</f>
        <v>0</v>
      </c>
      <c r="AL25" s="2">
        <f>VLOOKUP($AI25,'Equipment &amp; Troop Q'!$F$3:$I$30,4,FALSE)</f>
        <v>0</v>
      </c>
    </row>
    <row r="26" spans="2:38" x14ac:dyDescent="0.2">
      <c r="B26" s="5" t="s">
        <v>101</v>
      </c>
      <c r="C26" s="43">
        <f>((((VLOOKUP($B26,'TL6-12 Elements'!$A$2:$I$67,2,FALSE))*L26)*M26)*(1+P26+T26+X26+AB26+AF26+AJ26))*N26</f>
        <v>0</v>
      </c>
      <c r="D26" s="43" t="str">
        <f>VLOOKUP($B26,'TL6-12 Elements'!$A$2:$I$67,3,FALSE)</f>
        <v>-</v>
      </c>
      <c r="E26" s="43">
        <f t="shared" si="0"/>
        <v>0</v>
      </c>
      <c r="F26" s="43" t="str">
        <f>VLOOKUP($B26,'TL6-12 Elements'!$A$2:$I$67,4,FALSE)</f>
        <v>-</v>
      </c>
      <c r="G26" s="43" t="str">
        <f>VLOOKUP($B26,'TL6-12 Elements'!$A$2:$I$67,5,FALSE)</f>
        <v>-</v>
      </c>
      <c r="H26" s="43" t="str">
        <f>VLOOKUP($B26,'TL6-12 Elements'!$A$2:$I$67,6,FALSE)</f>
        <v>-</v>
      </c>
      <c r="I26" s="45">
        <f>(((VLOOKUP($B26,'TL6-12 Elements'!$A$2:$I$67,7,FALSE))*M26)*(1+Q26+U26+Y26+AC26+AG26+AK26))*N26</f>
        <v>0</v>
      </c>
      <c r="J26" s="45">
        <f>(((VLOOKUP($B26,'TL6-12 Elements'!$A$2:$I$67,8,FALSE))*M26)*(1+R26+V26+Z26+AD26+AH26+AL26))*N26</f>
        <v>0</v>
      </c>
      <c r="K26" s="10">
        <v>7</v>
      </c>
      <c r="L26" s="10">
        <f>IF(VLOOKUP($B26,'TL6-12 Elements'!$A$2:$I$67,9,FALSE)-$K26=0,1,IF(VLOOKUP($B26,'TL6-12 Elements'!$A$2:$I$67,9,FALSE)-$K26=-1,2,IF(VLOOKUP($B26,'TL6-12 Elements'!$A$2:$I$67,9,FALSE)-$K26=-2,4,IF(VLOOKUP($B26,'TL6-12 Elements'!$A$2:$I$67,9,FALSE)-$K26=-3,8,IF(VLOOKUP($B26,'TL6-12 Elements'!$A$2:$I$67,9,FALSE)-$K26=-4,16,"Invalid")))))</f>
        <v>2</v>
      </c>
      <c r="M26" s="10">
        <v>1</v>
      </c>
      <c r="N26" s="44">
        <v>1</v>
      </c>
      <c r="O26" s="2" t="s">
        <v>138</v>
      </c>
      <c r="P26" s="2">
        <f>VLOOKUP(O26,'Equipment &amp; Troop Q'!$A$3:$D$7,2,FALSE)</f>
        <v>0</v>
      </c>
      <c r="Q26" s="2">
        <f>VLOOKUP($O26,'Equipment &amp; Troop Q'!$A$3:$D$7,3,FALSE)</f>
        <v>0</v>
      </c>
      <c r="R26" s="2">
        <f>VLOOKUP($O26,'Equipment &amp; Troop Q'!$A$3:$D$7,4,FALSE)</f>
        <v>0</v>
      </c>
      <c r="S26" s="2" t="s">
        <v>141</v>
      </c>
      <c r="T26" s="2">
        <f>VLOOKUP($S26,'Equipment &amp; Troop Q'!$A$13:$D$16,2,FALSE)</f>
        <v>0</v>
      </c>
      <c r="U26" s="2">
        <f>IF(OR(W26="Fanatic",AA26="Fanatic",AE26="Fanatic",AI26="Fanatic"),VLOOKUP($S26,'Equipment &amp; Troop Q'!$A$18:$D$19,3,FALSE),VLOOKUP($S26,'Equipment &amp; Troop Q'!$A$13:$D$16,3,FALSE))</f>
        <v>0</v>
      </c>
      <c r="V26" s="2">
        <f>VLOOKUP($S26,'Equipment &amp; Troop Q'!$A$13:$D$16,4,FALSE)</f>
        <v>0</v>
      </c>
      <c r="W26" s="2" t="s">
        <v>101</v>
      </c>
      <c r="X26" s="2">
        <f>VLOOKUP($W26,'Equipment &amp; Troop Q'!$F$3:$I$30,2,FALSE)</f>
        <v>0</v>
      </c>
      <c r="Y26" s="2">
        <f>VLOOKUP($W26,'Equipment &amp; Troop Q'!$F$3:$I$30,3,FALSE)</f>
        <v>0</v>
      </c>
      <c r="Z26" s="2">
        <f>VLOOKUP($W26,'Equipment &amp; Troop Q'!$F$3:$I$30,4,FALSE)</f>
        <v>0</v>
      </c>
      <c r="AA26" s="2" t="s">
        <v>101</v>
      </c>
      <c r="AB26" s="2">
        <f>VLOOKUP($AA26,'Equipment &amp; Troop Q'!$F$3:$I$30,2,FALSE)</f>
        <v>0</v>
      </c>
      <c r="AC26" s="2">
        <f>VLOOKUP($AA26,'Equipment &amp; Troop Q'!$F$3:$I$30,3,FALSE)</f>
        <v>0</v>
      </c>
      <c r="AD26" s="2">
        <f>VLOOKUP($AA26,'Equipment &amp; Troop Q'!$F$3:$I$30,4,FALSE)</f>
        <v>0</v>
      </c>
      <c r="AE26" s="2" t="s">
        <v>101</v>
      </c>
      <c r="AF26" s="2">
        <f>VLOOKUP($AE26,'Equipment &amp; Troop Q'!$F$3:$I$30,2,FALSE)</f>
        <v>0</v>
      </c>
      <c r="AG26" s="2">
        <f>VLOOKUP($AE26,'Equipment &amp; Troop Q'!$F$3:$I$30,3,FALSE)</f>
        <v>0</v>
      </c>
      <c r="AH26" s="2">
        <f>VLOOKUP($AE26,'Equipment &amp; Troop Q'!$F$3:$I$30,4,FALSE)</f>
        <v>0</v>
      </c>
      <c r="AI26" s="2" t="s">
        <v>101</v>
      </c>
      <c r="AJ26" s="2">
        <f>VLOOKUP($AI26,'Equipment &amp; Troop Q'!$F$3:$I$30,2,FALSE)</f>
        <v>0</v>
      </c>
      <c r="AK26" s="2">
        <f>VLOOKUP($AI26,'Equipment &amp; Troop Q'!$F$3:$I$30,3,FALSE)</f>
        <v>0</v>
      </c>
      <c r="AL26" s="2">
        <f>VLOOKUP($AI26,'Equipment &amp; Troop Q'!$F$3:$I$30,4,FALSE)</f>
        <v>0</v>
      </c>
    </row>
    <row r="27" spans="2:38" x14ac:dyDescent="0.2">
      <c r="B27" s="5" t="s">
        <v>101</v>
      </c>
      <c r="C27" s="43">
        <f>((((VLOOKUP($B27,'TL6-12 Elements'!$A$2:$I$67,2,FALSE))*L27)*M27)*(1+P27+T27+X27+AB27+AF27+AJ27))*N27</f>
        <v>0</v>
      </c>
      <c r="D27" s="43" t="str">
        <f>VLOOKUP($B27,'TL6-12 Elements'!$A$2:$I$67,3,FALSE)</f>
        <v>-</v>
      </c>
      <c r="E27" s="43">
        <f t="shared" si="0"/>
        <v>0</v>
      </c>
      <c r="F27" s="43" t="str">
        <f>VLOOKUP($B27,'TL6-12 Elements'!$A$2:$I$67,4,FALSE)</f>
        <v>-</v>
      </c>
      <c r="G27" s="43" t="str">
        <f>VLOOKUP($B27,'TL6-12 Elements'!$A$2:$I$67,5,FALSE)</f>
        <v>-</v>
      </c>
      <c r="H27" s="43" t="str">
        <f>VLOOKUP($B27,'TL6-12 Elements'!$A$2:$I$67,6,FALSE)</f>
        <v>-</v>
      </c>
      <c r="I27" s="45">
        <f>(((VLOOKUP($B27,'TL6-12 Elements'!$A$2:$I$67,7,FALSE))*M27)*(1+Q27+U27+Y27+AC27+AG27+AK27))*N27</f>
        <v>0</v>
      </c>
      <c r="J27" s="45">
        <f>(((VLOOKUP($B27,'TL6-12 Elements'!$A$2:$I$67,8,FALSE))*M27)*(1+R27+V27+Z27+AD27+AH27+AL27))*N27</f>
        <v>0</v>
      </c>
      <c r="K27" s="10">
        <v>7</v>
      </c>
      <c r="L27" s="10">
        <f>IF(VLOOKUP($B27,'TL6-12 Elements'!$A$2:$I$67,9,FALSE)-$K27=0,1,IF(VLOOKUP($B27,'TL6-12 Elements'!$A$2:$I$67,9,FALSE)-$K27=-1,2,IF(VLOOKUP($B27,'TL6-12 Elements'!$A$2:$I$67,9,FALSE)-$K27=-2,4,IF(VLOOKUP($B27,'TL6-12 Elements'!$A$2:$I$67,9,FALSE)-$K27=-3,8,IF(VLOOKUP($B27,'TL6-12 Elements'!$A$2:$I$67,9,FALSE)-$K27=-4,16,"Invalid")))))</f>
        <v>2</v>
      </c>
      <c r="M27" s="10">
        <v>1</v>
      </c>
      <c r="N27" s="44">
        <v>1</v>
      </c>
      <c r="O27" s="2" t="s">
        <v>138</v>
      </c>
      <c r="P27" s="2">
        <f>VLOOKUP(O27,'Equipment &amp; Troop Q'!$A$3:$D$7,2,FALSE)</f>
        <v>0</v>
      </c>
      <c r="Q27" s="2">
        <f>VLOOKUP($O27,'Equipment &amp; Troop Q'!$A$3:$D$7,3,FALSE)</f>
        <v>0</v>
      </c>
      <c r="R27" s="2">
        <f>VLOOKUP($O27,'Equipment &amp; Troop Q'!$A$3:$D$7,4,FALSE)</f>
        <v>0</v>
      </c>
      <c r="S27" s="2" t="s">
        <v>141</v>
      </c>
      <c r="T27" s="2">
        <f>VLOOKUP($S27,'Equipment &amp; Troop Q'!$A$13:$D$16,2,FALSE)</f>
        <v>0</v>
      </c>
      <c r="U27" s="2">
        <f>IF(OR(W27="Fanatic",AA27="Fanatic",AE27="Fanatic",AI27="Fanatic"),VLOOKUP($S27,'Equipment &amp; Troop Q'!$A$18:$D$19,3,FALSE),VLOOKUP($S27,'Equipment &amp; Troop Q'!$A$13:$D$16,3,FALSE))</f>
        <v>0</v>
      </c>
      <c r="V27" s="2">
        <f>VLOOKUP($S27,'Equipment &amp; Troop Q'!$A$13:$D$16,4,FALSE)</f>
        <v>0</v>
      </c>
      <c r="W27" s="2" t="s">
        <v>101</v>
      </c>
      <c r="X27" s="2">
        <f>VLOOKUP($W27,'Equipment &amp; Troop Q'!$F$3:$I$30,2,FALSE)</f>
        <v>0</v>
      </c>
      <c r="Y27" s="2">
        <f>VLOOKUP($W27,'Equipment &amp; Troop Q'!$F$3:$I$30,3,FALSE)</f>
        <v>0</v>
      </c>
      <c r="Z27" s="2">
        <f>VLOOKUP($W27,'Equipment &amp; Troop Q'!$F$3:$I$30,4,FALSE)</f>
        <v>0</v>
      </c>
      <c r="AA27" s="2" t="s">
        <v>101</v>
      </c>
      <c r="AB27" s="2">
        <f>VLOOKUP($AA27,'Equipment &amp; Troop Q'!$F$3:$I$30,2,FALSE)</f>
        <v>0</v>
      </c>
      <c r="AC27" s="2">
        <f>VLOOKUP($AA27,'Equipment &amp; Troop Q'!$F$3:$I$30,3,FALSE)</f>
        <v>0</v>
      </c>
      <c r="AD27" s="2">
        <f>VLOOKUP($AA27,'Equipment &amp; Troop Q'!$F$3:$I$30,4,FALSE)</f>
        <v>0</v>
      </c>
      <c r="AE27" s="2" t="s">
        <v>101</v>
      </c>
      <c r="AF27" s="2">
        <f>VLOOKUP($AE27,'Equipment &amp; Troop Q'!$F$3:$I$30,2,FALSE)</f>
        <v>0</v>
      </c>
      <c r="AG27" s="2">
        <f>VLOOKUP($AE27,'Equipment &amp; Troop Q'!$F$3:$I$30,3,FALSE)</f>
        <v>0</v>
      </c>
      <c r="AH27" s="2">
        <f>VLOOKUP($AE27,'Equipment &amp; Troop Q'!$F$3:$I$30,4,FALSE)</f>
        <v>0</v>
      </c>
      <c r="AI27" s="2" t="s">
        <v>101</v>
      </c>
      <c r="AJ27" s="2">
        <f>VLOOKUP($AI27,'Equipment &amp; Troop Q'!$F$3:$I$30,2,FALSE)</f>
        <v>0</v>
      </c>
      <c r="AK27" s="2">
        <f>VLOOKUP($AI27,'Equipment &amp; Troop Q'!$F$3:$I$30,3,FALSE)</f>
        <v>0</v>
      </c>
      <c r="AL27" s="2">
        <f>VLOOKUP($AI27,'Equipment &amp; Troop Q'!$F$3:$I$30,4,FALSE)</f>
        <v>0</v>
      </c>
    </row>
    <row r="28" spans="2:38" x14ac:dyDescent="0.2">
      <c r="B28" s="5" t="s">
        <v>101</v>
      </c>
      <c r="C28" s="43">
        <f>((((VLOOKUP($B28,'TL6-12 Elements'!$A$2:$I$67,2,FALSE))*L28)*M28)*(1+P28+T28+X28+AB28+AF28+AJ28))*N28</f>
        <v>0</v>
      </c>
      <c r="D28" s="43" t="str">
        <f>VLOOKUP($B28,'TL6-12 Elements'!$A$2:$I$67,3,FALSE)</f>
        <v>-</v>
      </c>
      <c r="E28" s="43">
        <f t="shared" si="0"/>
        <v>0</v>
      </c>
      <c r="F28" s="43" t="str">
        <f>VLOOKUP($B28,'TL6-12 Elements'!$A$2:$I$67,4,FALSE)</f>
        <v>-</v>
      </c>
      <c r="G28" s="43" t="str">
        <f>VLOOKUP($B28,'TL6-12 Elements'!$A$2:$I$67,5,FALSE)</f>
        <v>-</v>
      </c>
      <c r="H28" s="43" t="str">
        <f>VLOOKUP($B28,'TL6-12 Elements'!$A$2:$I$67,6,FALSE)</f>
        <v>-</v>
      </c>
      <c r="I28" s="45">
        <f>(((VLOOKUP($B28,'TL6-12 Elements'!$A$2:$I$67,7,FALSE))*M28)*(1+Q28+U28+Y28+AC28+AG28+AK28))*N28</f>
        <v>0</v>
      </c>
      <c r="J28" s="45">
        <f>(((VLOOKUP($B28,'TL6-12 Elements'!$A$2:$I$67,8,FALSE))*M28)*(1+R28+V28+Z28+AD28+AH28+AL28))*N28</f>
        <v>0</v>
      </c>
      <c r="K28" s="10">
        <v>7</v>
      </c>
      <c r="L28" s="10">
        <f>IF(VLOOKUP($B28,'TL6-12 Elements'!$A$2:$I$67,9,FALSE)-$K28=0,1,IF(VLOOKUP($B28,'TL6-12 Elements'!$A$2:$I$67,9,FALSE)-$K28=-1,2,IF(VLOOKUP($B28,'TL6-12 Elements'!$A$2:$I$67,9,FALSE)-$K28=-2,4,IF(VLOOKUP($B28,'TL6-12 Elements'!$A$2:$I$67,9,FALSE)-$K28=-3,8,IF(VLOOKUP($B28,'TL6-12 Elements'!$A$2:$I$67,9,FALSE)-$K28=-4,16,"Invalid")))))</f>
        <v>2</v>
      </c>
      <c r="M28" s="10">
        <v>1</v>
      </c>
      <c r="N28" s="44">
        <v>1</v>
      </c>
      <c r="O28" s="2" t="s">
        <v>138</v>
      </c>
      <c r="P28" s="2">
        <f>VLOOKUP(O28,'Equipment &amp; Troop Q'!$A$3:$D$7,2,FALSE)</f>
        <v>0</v>
      </c>
      <c r="Q28" s="2">
        <f>VLOOKUP($O28,'Equipment &amp; Troop Q'!$A$3:$D$7,3,FALSE)</f>
        <v>0</v>
      </c>
      <c r="R28" s="2">
        <f>VLOOKUP($O28,'Equipment &amp; Troop Q'!$A$3:$D$7,4,FALSE)</f>
        <v>0</v>
      </c>
      <c r="S28" s="2" t="s">
        <v>141</v>
      </c>
      <c r="T28" s="2">
        <f>VLOOKUP($S28,'Equipment &amp; Troop Q'!$A$13:$D$16,2,FALSE)</f>
        <v>0</v>
      </c>
      <c r="U28" s="2">
        <f>IF(OR(W28="Fanatic",AA28="Fanatic",AE28="Fanatic",AI28="Fanatic"),VLOOKUP($S28,'Equipment &amp; Troop Q'!$A$18:$D$19,3,FALSE),VLOOKUP($S28,'Equipment &amp; Troop Q'!$A$13:$D$16,3,FALSE))</f>
        <v>0</v>
      </c>
      <c r="V28" s="2">
        <f>VLOOKUP($S28,'Equipment &amp; Troop Q'!$A$13:$D$16,4,FALSE)</f>
        <v>0</v>
      </c>
      <c r="W28" s="2" t="s">
        <v>101</v>
      </c>
      <c r="X28" s="2">
        <f>VLOOKUP($W28,'Equipment &amp; Troop Q'!$F$3:$I$30,2,FALSE)</f>
        <v>0</v>
      </c>
      <c r="Y28" s="2">
        <f>VLOOKUP($W28,'Equipment &amp; Troop Q'!$F$3:$I$30,3,FALSE)</f>
        <v>0</v>
      </c>
      <c r="Z28" s="2">
        <f>VLOOKUP($W28,'Equipment &amp; Troop Q'!$F$3:$I$30,4,FALSE)</f>
        <v>0</v>
      </c>
      <c r="AA28" s="2" t="s">
        <v>101</v>
      </c>
      <c r="AB28" s="2">
        <f>VLOOKUP($AA28,'Equipment &amp; Troop Q'!$F$3:$I$30,2,FALSE)</f>
        <v>0</v>
      </c>
      <c r="AC28" s="2">
        <f>VLOOKUP($AA28,'Equipment &amp; Troop Q'!$F$3:$I$30,3,FALSE)</f>
        <v>0</v>
      </c>
      <c r="AD28" s="2">
        <f>VLOOKUP($AA28,'Equipment &amp; Troop Q'!$F$3:$I$30,4,FALSE)</f>
        <v>0</v>
      </c>
      <c r="AE28" s="2" t="s">
        <v>101</v>
      </c>
      <c r="AF28" s="2">
        <f>VLOOKUP($AE28,'Equipment &amp; Troop Q'!$F$3:$I$30,2,FALSE)</f>
        <v>0</v>
      </c>
      <c r="AG28" s="2">
        <f>VLOOKUP($AE28,'Equipment &amp; Troop Q'!$F$3:$I$30,3,FALSE)</f>
        <v>0</v>
      </c>
      <c r="AH28" s="2">
        <f>VLOOKUP($AE28,'Equipment &amp; Troop Q'!$F$3:$I$30,4,FALSE)</f>
        <v>0</v>
      </c>
      <c r="AI28" s="2" t="s">
        <v>101</v>
      </c>
      <c r="AJ28" s="2">
        <f>VLOOKUP($AI28,'Equipment &amp; Troop Q'!$F$3:$I$30,2,FALSE)</f>
        <v>0</v>
      </c>
      <c r="AK28" s="2">
        <f>VLOOKUP($AI28,'Equipment &amp; Troop Q'!$F$3:$I$30,3,FALSE)</f>
        <v>0</v>
      </c>
      <c r="AL28" s="2">
        <f>VLOOKUP($AI28,'Equipment &amp; Troop Q'!$F$3:$I$30,4,FALSE)</f>
        <v>0</v>
      </c>
    </row>
    <row r="29" spans="2:38" x14ac:dyDescent="0.2">
      <c r="B29" s="5" t="s">
        <v>101</v>
      </c>
      <c r="C29" s="43">
        <f>((((VLOOKUP($B29,'TL6-12 Elements'!$A$2:$I$67,2,FALSE))*L29)*M29)*(1+P29+T29+X29+AB29+AF29+AJ29))*N29</f>
        <v>0</v>
      </c>
      <c r="D29" s="43" t="str">
        <f>VLOOKUP($B29,'TL6-12 Elements'!$A$2:$I$67,3,FALSE)</f>
        <v>-</v>
      </c>
      <c r="E29" s="43">
        <f t="shared" si="0"/>
        <v>0</v>
      </c>
      <c r="F29" s="43" t="str">
        <f>VLOOKUP($B29,'TL6-12 Elements'!$A$2:$I$67,4,FALSE)</f>
        <v>-</v>
      </c>
      <c r="G29" s="43" t="str">
        <f>VLOOKUP($B29,'TL6-12 Elements'!$A$2:$I$67,5,FALSE)</f>
        <v>-</v>
      </c>
      <c r="H29" s="43" t="str">
        <f>VLOOKUP($B29,'TL6-12 Elements'!$A$2:$I$67,6,FALSE)</f>
        <v>-</v>
      </c>
      <c r="I29" s="45">
        <f>(((VLOOKUP($B29,'TL6-12 Elements'!$A$2:$I$67,7,FALSE))*M29)*(1+Q29+U29+Y29+AC29+AG29+AK29))*N29</f>
        <v>0</v>
      </c>
      <c r="J29" s="45">
        <f>(((VLOOKUP($B29,'TL6-12 Elements'!$A$2:$I$67,8,FALSE))*M29)*(1+R29+V29+Z29+AD29+AH29+AL29))*N29</f>
        <v>0</v>
      </c>
      <c r="K29" s="10">
        <v>7</v>
      </c>
      <c r="L29" s="10">
        <f>IF(VLOOKUP($B29,'TL6-12 Elements'!$A$2:$I$67,9,FALSE)-$K29=0,1,IF(VLOOKUP($B29,'TL6-12 Elements'!$A$2:$I$67,9,FALSE)-$K29=-1,2,IF(VLOOKUP($B29,'TL6-12 Elements'!$A$2:$I$67,9,FALSE)-$K29=-2,4,IF(VLOOKUP($B29,'TL6-12 Elements'!$A$2:$I$67,9,FALSE)-$K29=-3,8,IF(VLOOKUP($B29,'TL6-12 Elements'!$A$2:$I$67,9,FALSE)-$K29=-4,16,"Invalid")))))</f>
        <v>2</v>
      </c>
      <c r="M29" s="10">
        <v>1</v>
      </c>
      <c r="N29" s="44">
        <v>1</v>
      </c>
      <c r="O29" s="2" t="s">
        <v>138</v>
      </c>
      <c r="P29" s="2">
        <f>VLOOKUP(O29,'Equipment &amp; Troop Q'!$A$3:$D$7,2,FALSE)</f>
        <v>0</v>
      </c>
      <c r="Q29" s="2">
        <f>VLOOKUP($O29,'Equipment &amp; Troop Q'!$A$3:$D$7,3,FALSE)</f>
        <v>0</v>
      </c>
      <c r="R29" s="2">
        <f>VLOOKUP($O29,'Equipment &amp; Troop Q'!$A$3:$D$7,4,FALSE)</f>
        <v>0</v>
      </c>
      <c r="S29" s="2" t="s">
        <v>141</v>
      </c>
      <c r="T29" s="2">
        <f>VLOOKUP($S29,'Equipment &amp; Troop Q'!$A$13:$D$16,2,FALSE)</f>
        <v>0</v>
      </c>
      <c r="U29" s="2">
        <f>IF(OR(W29="Fanatic",AA29="Fanatic",AE29="Fanatic",AI29="Fanatic"),VLOOKUP($S29,'Equipment &amp; Troop Q'!$A$18:$D$19,3,FALSE),VLOOKUP($S29,'Equipment &amp; Troop Q'!$A$13:$D$16,3,FALSE))</f>
        <v>0</v>
      </c>
      <c r="V29" s="2">
        <f>VLOOKUP($S29,'Equipment &amp; Troop Q'!$A$13:$D$16,4,FALSE)</f>
        <v>0</v>
      </c>
      <c r="W29" s="2" t="s">
        <v>101</v>
      </c>
      <c r="X29" s="2">
        <f>VLOOKUP($W29,'Equipment &amp; Troop Q'!$F$3:$I$30,2,FALSE)</f>
        <v>0</v>
      </c>
      <c r="Y29" s="2">
        <f>VLOOKUP($W29,'Equipment &amp; Troop Q'!$F$3:$I$30,3,FALSE)</f>
        <v>0</v>
      </c>
      <c r="Z29" s="2">
        <f>VLOOKUP($W29,'Equipment &amp; Troop Q'!$F$3:$I$30,4,FALSE)</f>
        <v>0</v>
      </c>
      <c r="AA29" s="2" t="s">
        <v>101</v>
      </c>
      <c r="AB29" s="2">
        <f>VLOOKUP($AA29,'Equipment &amp; Troop Q'!$F$3:$I$30,2,FALSE)</f>
        <v>0</v>
      </c>
      <c r="AC29" s="2">
        <f>VLOOKUP($AA29,'Equipment &amp; Troop Q'!$F$3:$I$30,3,FALSE)</f>
        <v>0</v>
      </c>
      <c r="AD29" s="2">
        <f>VLOOKUP($AA29,'Equipment &amp; Troop Q'!$F$3:$I$30,4,FALSE)</f>
        <v>0</v>
      </c>
      <c r="AE29" s="2" t="s">
        <v>101</v>
      </c>
      <c r="AF29" s="2">
        <f>VLOOKUP($AE29,'Equipment &amp; Troop Q'!$F$3:$I$30,2,FALSE)</f>
        <v>0</v>
      </c>
      <c r="AG29" s="2">
        <f>VLOOKUP($AE29,'Equipment &amp; Troop Q'!$F$3:$I$30,3,FALSE)</f>
        <v>0</v>
      </c>
      <c r="AH29" s="2">
        <f>VLOOKUP($AE29,'Equipment &amp; Troop Q'!$F$3:$I$30,4,FALSE)</f>
        <v>0</v>
      </c>
      <c r="AI29" s="2" t="s">
        <v>101</v>
      </c>
      <c r="AJ29" s="2">
        <f>VLOOKUP($AI29,'Equipment &amp; Troop Q'!$F$3:$I$30,2,FALSE)</f>
        <v>0</v>
      </c>
      <c r="AK29" s="2">
        <f>VLOOKUP($AI29,'Equipment &amp; Troop Q'!$F$3:$I$30,3,FALSE)</f>
        <v>0</v>
      </c>
      <c r="AL29" s="2">
        <f>VLOOKUP($AI29,'Equipment &amp; Troop Q'!$F$3:$I$30,4,FALSE)</f>
        <v>0</v>
      </c>
    </row>
    <row r="30" spans="2:38" x14ac:dyDescent="0.2">
      <c r="B30" s="5" t="s">
        <v>101</v>
      </c>
      <c r="C30" s="43">
        <f>((((VLOOKUP($B30,'TL6-12 Elements'!$A$2:$I$67,2,FALSE))*L30)*M30)*(1+P30+T30+X30+AB30+AF30+AJ30))*N30</f>
        <v>0</v>
      </c>
      <c r="D30" s="43" t="str">
        <f>VLOOKUP($B30,'TL6-12 Elements'!$A$2:$I$67,3,FALSE)</f>
        <v>-</v>
      </c>
      <c r="E30" s="43">
        <f t="shared" si="0"/>
        <v>0</v>
      </c>
      <c r="F30" s="43" t="str">
        <f>VLOOKUP($B30,'TL6-12 Elements'!$A$2:$I$67,4,FALSE)</f>
        <v>-</v>
      </c>
      <c r="G30" s="43" t="str">
        <f>VLOOKUP($B30,'TL6-12 Elements'!$A$2:$I$67,5,FALSE)</f>
        <v>-</v>
      </c>
      <c r="H30" s="43" t="str">
        <f>VLOOKUP($B30,'TL6-12 Elements'!$A$2:$I$67,6,FALSE)</f>
        <v>-</v>
      </c>
      <c r="I30" s="45">
        <f>(((VLOOKUP($B30,'TL6-12 Elements'!$A$2:$I$67,7,FALSE))*M30)*(1+Q30+U30+Y30+AC30+AG30+AK30))*N30</f>
        <v>0</v>
      </c>
      <c r="J30" s="45">
        <f>(((VLOOKUP($B30,'TL6-12 Elements'!$A$2:$I$67,8,FALSE))*M30)*(1+R30+V30+Z30+AD30+AH30+AL30))*N30</f>
        <v>0</v>
      </c>
      <c r="K30" s="10">
        <v>7</v>
      </c>
      <c r="L30" s="10">
        <f>IF(VLOOKUP($B30,'TL6-12 Elements'!$A$2:$I$67,9,FALSE)-$K30=0,1,IF(VLOOKUP($B30,'TL6-12 Elements'!$A$2:$I$67,9,FALSE)-$K30=-1,2,IF(VLOOKUP($B30,'TL6-12 Elements'!$A$2:$I$67,9,FALSE)-$K30=-2,4,IF(VLOOKUP($B30,'TL6-12 Elements'!$A$2:$I$67,9,FALSE)-$K30=-3,8,IF(VLOOKUP($B30,'TL6-12 Elements'!$A$2:$I$67,9,FALSE)-$K30=-4,16,"Invalid")))))</f>
        <v>2</v>
      </c>
      <c r="M30" s="10">
        <v>1</v>
      </c>
      <c r="N30" s="44">
        <v>1</v>
      </c>
      <c r="O30" s="2" t="s">
        <v>138</v>
      </c>
      <c r="P30" s="2">
        <f>VLOOKUP(O30,'Equipment &amp; Troop Q'!$A$3:$D$7,2,FALSE)</f>
        <v>0</v>
      </c>
      <c r="Q30" s="2">
        <f>VLOOKUP($O30,'Equipment &amp; Troop Q'!$A$3:$D$7,3,FALSE)</f>
        <v>0</v>
      </c>
      <c r="R30" s="2">
        <f>VLOOKUP($O30,'Equipment &amp; Troop Q'!$A$3:$D$7,4,FALSE)</f>
        <v>0</v>
      </c>
      <c r="S30" s="2" t="s">
        <v>141</v>
      </c>
      <c r="T30" s="2">
        <f>VLOOKUP($S30,'Equipment &amp; Troop Q'!$A$13:$D$16,2,FALSE)</f>
        <v>0</v>
      </c>
      <c r="U30" s="2">
        <f>IF(OR(W30="Fanatic",AA30="Fanatic",AE30="Fanatic",AI30="Fanatic"),VLOOKUP($S30,'Equipment &amp; Troop Q'!$A$18:$D$19,3,FALSE),VLOOKUP($S30,'Equipment &amp; Troop Q'!$A$13:$D$16,3,FALSE))</f>
        <v>0</v>
      </c>
      <c r="V30" s="2">
        <f>VLOOKUP($S30,'Equipment &amp; Troop Q'!$A$13:$D$16,4,FALSE)</f>
        <v>0</v>
      </c>
      <c r="W30" s="2" t="s">
        <v>101</v>
      </c>
      <c r="X30" s="2">
        <f>VLOOKUP($W30,'Equipment &amp; Troop Q'!$F$3:$I$30,2,FALSE)</f>
        <v>0</v>
      </c>
      <c r="Y30" s="2">
        <f>VLOOKUP($W30,'Equipment &amp; Troop Q'!$F$3:$I$30,3,FALSE)</f>
        <v>0</v>
      </c>
      <c r="Z30" s="2">
        <f>VLOOKUP($W30,'Equipment &amp; Troop Q'!$F$3:$I$30,4,FALSE)</f>
        <v>0</v>
      </c>
      <c r="AA30" s="2" t="s">
        <v>101</v>
      </c>
      <c r="AB30" s="2">
        <f>VLOOKUP($AA30,'Equipment &amp; Troop Q'!$F$3:$I$30,2,FALSE)</f>
        <v>0</v>
      </c>
      <c r="AC30" s="2">
        <f>VLOOKUP($AA30,'Equipment &amp; Troop Q'!$F$3:$I$30,3,FALSE)</f>
        <v>0</v>
      </c>
      <c r="AD30" s="2">
        <f>VLOOKUP($AA30,'Equipment &amp; Troop Q'!$F$3:$I$30,4,FALSE)</f>
        <v>0</v>
      </c>
      <c r="AE30" s="2" t="s">
        <v>101</v>
      </c>
      <c r="AF30" s="2">
        <f>VLOOKUP($AE30,'Equipment &amp; Troop Q'!$F$3:$I$30,2,FALSE)</f>
        <v>0</v>
      </c>
      <c r="AG30" s="2">
        <f>VLOOKUP($AE30,'Equipment &amp; Troop Q'!$F$3:$I$30,3,FALSE)</f>
        <v>0</v>
      </c>
      <c r="AH30" s="2">
        <f>VLOOKUP($AE30,'Equipment &amp; Troop Q'!$F$3:$I$30,4,FALSE)</f>
        <v>0</v>
      </c>
      <c r="AI30" s="2" t="s">
        <v>101</v>
      </c>
      <c r="AJ30" s="2">
        <f>VLOOKUP($AI30,'Equipment &amp; Troop Q'!$F$3:$I$30,2,FALSE)</f>
        <v>0</v>
      </c>
      <c r="AK30" s="2">
        <f>VLOOKUP($AI30,'Equipment &amp; Troop Q'!$F$3:$I$30,3,FALSE)</f>
        <v>0</v>
      </c>
      <c r="AL30" s="2">
        <f>VLOOKUP($AI30,'Equipment &amp; Troop Q'!$F$3:$I$30,4,FALSE)</f>
        <v>0</v>
      </c>
    </row>
    <row r="31" spans="2:38" x14ac:dyDescent="0.2">
      <c r="B31" s="5" t="s">
        <v>101</v>
      </c>
      <c r="C31" s="43">
        <f>((((VLOOKUP($B31,'TL6-12 Elements'!$A$2:$I$67,2,FALSE))*L31)*M31)*(1+P31+T31+X31+AB31+AF31+AJ31))*N31</f>
        <v>0</v>
      </c>
      <c r="D31" s="43" t="str">
        <f>VLOOKUP($B31,'TL6-12 Elements'!$A$2:$I$67,3,FALSE)</f>
        <v>-</v>
      </c>
      <c r="E31" s="43">
        <f t="shared" si="0"/>
        <v>0</v>
      </c>
      <c r="F31" s="43" t="str">
        <f>VLOOKUP($B31,'TL6-12 Elements'!$A$2:$I$67,4,FALSE)</f>
        <v>-</v>
      </c>
      <c r="G31" s="43" t="str">
        <f>VLOOKUP($B31,'TL6-12 Elements'!$A$2:$I$67,5,FALSE)</f>
        <v>-</v>
      </c>
      <c r="H31" s="43" t="str">
        <f>VLOOKUP($B31,'TL6-12 Elements'!$A$2:$I$67,6,FALSE)</f>
        <v>-</v>
      </c>
      <c r="I31" s="45">
        <f>(((VLOOKUP($B31,'TL6-12 Elements'!$A$2:$I$67,7,FALSE))*M31)*(1+Q31+U31+Y31+AC31+AG31+AK31))*N31</f>
        <v>0</v>
      </c>
      <c r="J31" s="45">
        <f>(((VLOOKUP($B31,'TL6-12 Elements'!$A$2:$I$67,8,FALSE))*M31)*(1+R31+V31+Z31+AD31+AH31+AL31))*N31</f>
        <v>0</v>
      </c>
      <c r="K31" s="10">
        <v>7</v>
      </c>
      <c r="L31" s="10">
        <f>IF(VLOOKUP($B31,'TL6-12 Elements'!$A$2:$I$67,9,FALSE)-$K31=0,1,IF(VLOOKUP($B31,'TL6-12 Elements'!$A$2:$I$67,9,FALSE)-$K31=-1,2,IF(VLOOKUP($B31,'TL6-12 Elements'!$A$2:$I$67,9,FALSE)-$K31=-2,4,IF(VLOOKUP($B31,'TL6-12 Elements'!$A$2:$I$67,9,FALSE)-$K31=-3,8,IF(VLOOKUP($B31,'TL6-12 Elements'!$A$2:$I$67,9,FALSE)-$K31=-4,16,"Invalid")))))</f>
        <v>2</v>
      </c>
      <c r="M31" s="10">
        <v>1</v>
      </c>
      <c r="N31" s="44">
        <v>1</v>
      </c>
      <c r="O31" s="2" t="s">
        <v>138</v>
      </c>
      <c r="P31" s="2">
        <f>VLOOKUP(O31,'Equipment &amp; Troop Q'!$A$3:$D$7,2,FALSE)</f>
        <v>0</v>
      </c>
      <c r="Q31" s="2">
        <f>VLOOKUP($O31,'Equipment &amp; Troop Q'!$A$3:$D$7,3,FALSE)</f>
        <v>0</v>
      </c>
      <c r="R31" s="2">
        <f>VLOOKUP($O31,'Equipment &amp; Troop Q'!$A$3:$D$7,4,FALSE)</f>
        <v>0</v>
      </c>
      <c r="S31" s="2" t="s">
        <v>141</v>
      </c>
      <c r="T31" s="2">
        <f>VLOOKUP($S31,'Equipment &amp; Troop Q'!$A$13:$D$16,2,FALSE)</f>
        <v>0</v>
      </c>
      <c r="U31" s="2">
        <f>IF(OR(W31="Fanatic",AA31="Fanatic",AE31="Fanatic",AI31="Fanatic"),VLOOKUP($S31,'Equipment &amp; Troop Q'!$A$18:$D$19,3,FALSE),VLOOKUP($S31,'Equipment &amp; Troop Q'!$A$13:$D$16,3,FALSE))</f>
        <v>0</v>
      </c>
      <c r="V31" s="2">
        <f>VLOOKUP($S31,'Equipment &amp; Troop Q'!$A$13:$D$16,4,FALSE)</f>
        <v>0</v>
      </c>
      <c r="W31" s="2" t="s">
        <v>101</v>
      </c>
      <c r="X31" s="2">
        <f>VLOOKUP($W31,'Equipment &amp; Troop Q'!$F$3:$I$30,2,FALSE)</f>
        <v>0</v>
      </c>
      <c r="Y31" s="2">
        <f>VLOOKUP($W31,'Equipment &amp; Troop Q'!$F$3:$I$30,3,FALSE)</f>
        <v>0</v>
      </c>
      <c r="Z31" s="2">
        <f>VLOOKUP($W31,'Equipment &amp; Troop Q'!$F$3:$I$30,4,FALSE)</f>
        <v>0</v>
      </c>
      <c r="AA31" s="2" t="s">
        <v>101</v>
      </c>
      <c r="AB31" s="2">
        <f>VLOOKUP($AA31,'Equipment &amp; Troop Q'!$F$3:$I$30,2,FALSE)</f>
        <v>0</v>
      </c>
      <c r="AC31" s="2">
        <f>VLOOKUP($AA31,'Equipment &amp; Troop Q'!$F$3:$I$30,3,FALSE)</f>
        <v>0</v>
      </c>
      <c r="AD31" s="2">
        <f>VLOOKUP($AA31,'Equipment &amp; Troop Q'!$F$3:$I$30,4,FALSE)</f>
        <v>0</v>
      </c>
      <c r="AE31" s="2" t="s">
        <v>101</v>
      </c>
      <c r="AF31" s="2">
        <f>VLOOKUP($AE31,'Equipment &amp; Troop Q'!$F$3:$I$30,2,FALSE)</f>
        <v>0</v>
      </c>
      <c r="AG31" s="2">
        <f>VLOOKUP($AE31,'Equipment &amp; Troop Q'!$F$3:$I$30,3,FALSE)</f>
        <v>0</v>
      </c>
      <c r="AH31" s="2">
        <f>VLOOKUP($AE31,'Equipment &amp; Troop Q'!$F$3:$I$30,4,FALSE)</f>
        <v>0</v>
      </c>
      <c r="AI31" s="2" t="s">
        <v>101</v>
      </c>
      <c r="AJ31" s="2">
        <f>VLOOKUP($AI31,'Equipment &amp; Troop Q'!$F$3:$I$30,2,FALSE)</f>
        <v>0</v>
      </c>
      <c r="AK31" s="2">
        <f>VLOOKUP($AI31,'Equipment &amp; Troop Q'!$F$3:$I$30,3,FALSE)</f>
        <v>0</v>
      </c>
      <c r="AL31" s="2">
        <f>VLOOKUP($AI31,'Equipment &amp; Troop Q'!$F$3:$I$30,4,FALSE)</f>
        <v>0</v>
      </c>
    </row>
    <row r="34" spans="2:10" x14ac:dyDescent="0.2">
      <c r="B34" s="3" t="s">
        <v>144</v>
      </c>
      <c r="C34" s="16">
        <f>SUM(I3:I31)</f>
        <v>195000</v>
      </c>
      <c r="D34" s="16"/>
      <c r="E34" s="16"/>
      <c r="I34" s="40" t="s">
        <v>357</v>
      </c>
      <c r="J34" s="41">
        <f>C35/1000</f>
        <v>31.5</v>
      </c>
    </row>
    <row r="35" spans="2:10" x14ac:dyDescent="0.2">
      <c r="B35" s="3" t="s">
        <v>145</v>
      </c>
      <c r="C35" s="16">
        <f>SUM(J3:J31)</f>
        <v>31500</v>
      </c>
      <c r="D35" s="16"/>
      <c r="E35" s="16"/>
      <c r="I35" s="40" t="s">
        <v>358</v>
      </c>
      <c r="J35" s="16">
        <f>J34*5000</f>
        <v>157500</v>
      </c>
    </row>
    <row r="36" spans="2:10" x14ac:dyDescent="0.2">
      <c r="B36" s="3" t="s">
        <v>146</v>
      </c>
      <c r="C36" s="39">
        <f>(SUMIF(D3:D31,0,C3:C31)+(SUMIF(D3:D31,1,C3:C31)*0.1))+SUM(E3:E31)</f>
        <v>220</v>
      </c>
      <c r="I36" s="40" t="s">
        <v>359</v>
      </c>
      <c r="J36" s="16">
        <f>J35*0.1</f>
        <v>15750</v>
      </c>
    </row>
    <row r="37" spans="2:10" x14ac:dyDescent="0.2">
      <c r="B37" s="3" t="s">
        <v>147</v>
      </c>
      <c r="C37" s="39">
        <f ca="1">(SUMIF(F3:F31,"*F*",C3:C31)+SUMIF(W3:AI31,"*F*",C3:C31))-G37</f>
        <v>160</v>
      </c>
      <c r="F37" s="1" t="s">
        <v>364</v>
      </c>
      <c r="G37" s="39">
        <f ca="1">SUMIF($F$3:$F$31,"*(F)*",$C$3:$C$31)+SUMIF($W$3:$AI$31,"*(F)*",$C$3:$C$31)</f>
        <v>0</v>
      </c>
    </row>
    <row r="38" spans="2:10" x14ac:dyDescent="0.2">
      <c r="B38" s="3" t="s">
        <v>148</v>
      </c>
      <c r="C38" s="39">
        <f ca="1">(SUMIF(F3:F31,"*Cv*",C3:C31)+SUMIF(W3:AI31,"*Cv*",C3:C31))-G38</f>
        <v>60</v>
      </c>
      <c r="F38" s="1" t="s">
        <v>365</v>
      </c>
      <c r="G38" s="39">
        <f ca="1">SUMIF($F$3:$F$31,"*(Cv)*",$C$3:$C$31)+SUMIF($W$3:$AI$31,"*(Cv)*",$C$3:$C$31)</f>
        <v>0</v>
      </c>
    </row>
    <row r="39" spans="2:10" x14ac:dyDescent="0.2">
      <c r="B39" s="3" t="s">
        <v>149</v>
      </c>
      <c r="C39" s="39">
        <f ca="1">(SUMIF(F3:F31,"*Arm*",C3:C31)+SUMIF(W3:AI31,"*Arm*",C3:C31))-G39</f>
        <v>0</v>
      </c>
      <c r="F39" s="1" t="s">
        <v>366</v>
      </c>
      <c r="G39" s="39">
        <f ca="1">SUMIF($F$3:$F$31,"*(Arm)*",$C$3:$C$31)+SUMIF($W$3:$AI$31,"*(Arm)*",$C$3:$C$31)</f>
        <v>0</v>
      </c>
    </row>
    <row r="40" spans="2:10" x14ac:dyDescent="0.2">
      <c r="B40" s="3" t="s">
        <v>150</v>
      </c>
      <c r="C40" s="39">
        <f ca="1">(SUMIF(F3:F31,"*Air*",C3:C31)+SUMIF(W3:AI31,"*Air*",C3:C31))-G40</f>
        <v>0</v>
      </c>
      <c r="F40" s="1" t="s">
        <v>62</v>
      </c>
      <c r="G40" s="39">
        <f ca="1">SUMIF($F$3:$F$31,"*(Air)*",$C$3:$C$31)+SUMIF($W$3:$AI$31,"*(Air)*",$C$3:$C$31)</f>
        <v>0</v>
      </c>
      <c r="I40" s="40" t="s">
        <v>360</v>
      </c>
      <c r="J40" s="16">
        <f>J35+C34</f>
        <v>352500</v>
      </c>
    </row>
    <row r="41" spans="2:10" x14ac:dyDescent="0.2">
      <c r="B41" s="3" t="s">
        <v>151</v>
      </c>
      <c r="C41" s="39">
        <f ca="1">(SUMIF(F3:F31,"*Art*",C3:C31)+SUMIF(W3:AI31,"*Art*",C3:C31))-G41</f>
        <v>0</v>
      </c>
      <c r="F41" s="1" t="s">
        <v>367</v>
      </c>
      <c r="G41" s="39">
        <f ca="1">SUMIF($F$3:$F$31,"*(Art)*",$C$3:$C$31)+SUMIF($W$3:$AI$31,"*(Art)*",$C$3:$C$31)</f>
        <v>0</v>
      </c>
      <c r="I41" s="40" t="s">
        <v>361</v>
      </c>
      <c r="J41" s="16">
        <f>J36+C35</f>
        <v>47250</v>
      </c>
    </row>
    <row r="42" spans="2:10" x14ac:dyDescent="0.2">
      <c r="B42" s="3" t="s">
        <v>152</v>
      </c>
      <c r="C42" s="39">
        <f ca="1">(SUMIF(F3:F31,"*Nav*",C3:C31)+SUMIF(W3:AI31,"*Nav*",C3:C31))-G42</f>
        <v>0</v>
      </c>
      <c r="F42" s="1" t="s">
        <v>368</v>
      </c>
      <c r="G42" s="39">
        <f ca="1">SUMIF($F$3:$F$31,"*(Nav)*",$C$3:$C$31)+SUMIF($W$3:$AI$31,"*(Nav)*",$C$3:$C$31)</f>
        <v>0</v>
      </c>
    </row>
    <row r="43" spans="2:10" x14ac:dyDescent="0.2">
      <c r="B43" s="3" t="s">
        <v>153</v>
      </c>
      <c r="C43" s="39">
        <f ca="1">(SUMIF(F3:F31,"*Eng*",C3:C31)+SUMIF(W3:AI31,"*Eng*",C3:C31))-G43</f>
        <v>0</v>
      </c>
      <c r="F43" s="1" t="s">
        <v>369</v>
      </c>
      <c r="G43" s="39">
        <f ca="1">SUMIF($F$3:$F$31,"*(Eng)*",$C$3:$C$31)+SUMIF($W$3:$AI$31,"*(Eng)*",$C$3:$C$31)</f>
        <v>0</v>
      </c>
    </row>
    <row r="44" spans="2:10" x14ac:dyDescent="0.2">
      <c r="B44" s="3" t="s">
        <v>154</v>
      </c>
      <c r="C44" s="39">
        <f ca="1">(SUMIF($F$3:$F$31,"*C3I*",$C$3:$C$31)+SUMIF($W$3:$AI$31,"*C3I*",$C$3:$C$31))-G44</f>
        <v>0</v>
      </c>
      <c r="F44" s="1" t="s">
        <v>370</v>
      </c>
      <c r="G44" s="39">
        <f ca="1">SUMIF($F$3:$F$31,"*(C3I)*",$C$3:$C$31)+SUMIF($W$3:$AI$31,"*(C3I)*",$C$3:$C$31)</f>
        <v>0</v>
      </c>
    </row>
    <row r="45" spans="2:10" x14ac:dyDescent="0.2">
      <c r="B45" s="3" t="s">
        <v>166</v>
      </c>
      <c r="C45" s="39">
        <f>SUMIF($F$3:$F$31,"*Rec*",$C$3:$C$31)</f>
        <v>160</v>
      </c>
    </row>
    <row r="71" spans="2:18" x14ac:dyDescent="0.2">
      <c r="B71" s="6"/>
      <c r="C71" s="9"/>
      <c r="D71" s="9"/>
      <c r="E71" s="9"/>
      <c r="F71" s="7"/>
      <c r="G71" s="7"/>
      <c r="H71" s="7"/>
      <c r="I71" s="17"/>
      <c r="J71" s="17"/>
      <c r="K71" s="7"/>
      <c r="L71" s="7"/>
      <c r="O71" s="13"/>
      <c r="P71" s="13"/>
      <c r="Q71" s="13"/>
      <c r="R71" s="13"/>
    </row>
    <row r="72" spans="2:18" x14ac:dyDescent="0.2">
      <c r="C72" s="4"/>
      <c r="D72" s="4"/>
      <c r="E72" s="4"/>
      <c r="I72" s="18"/>
      <c r="J72" s="19"/>
      <c r="K72" s="4"/>
      <c r="O72" s="13"/>
      <c r="P72" s="13"/>
      <c r="Q72" s="13"/>
      <c r="R72" s="13"/>
    </row>
    <row r="73" spans="2:18" x14ac:dyDescent="0.2">
      <c r="C73" s="4"/>
      <c r="D73" s="4"/>
      <c r="E73" s="4"/>
      <c r="I73" s="18"/>
      <c r="J73" s="19"/>
      <c r="K73" s="4"/>
      <c r="O73" s="12"/>
      <c r="P73"/>
      <c r="Q73"/>
      <c r="R73"/>
    </row>
    <row r="74" spans="2:18" hidden="1" x14ac:dyDescent="0.2">
      <c r="B74" s="5" t="s">
        <v>356</v>
      </c>
      <c r="C74" s="4"/>
      <c r="D74" s="4"/>
      <c r="E74" s="4"/>
      <c r="I74" s="18"/>
      <c r="J74" s="19"/>
      <c r="K74" s="4"/>
      <c r="O74" s="12"/>
      <c r="P74"/>
      <c r="Q74"/>
      <c r="R74"/>
    </row>
    <row r="75" spans="2:18" hidden="1" x14ac:dyDescent="0.2">
      <c r="B75" s="11" t="s">
        <v>101</v>
      </c>
      <c r="C75" s="4" t="s">
        <v>8</v>
      </c>
      <c r="D75" s="4"/>
      <c r="E75" s="4"/>
      <c r="F75" s="2" t="s">
        <v>167</v>
      </c>
      <c r="I75" s="18"/>
      <c r="J75" s="19"/>
      <c r="K75" s="4"/>
      <c r="O75" s="12"/>
      <c r="P75"/>
      <c r="Q75"/>
      <c r="R75"/>
    </row>
    <row r="76" spans="2:18" hidden="1" x14ac:dyDescent="0.2">
      <c r="B76" s="5" t="s">
        <v>23</v>
      </c>
      <c r="C76" s="4" t="s">
        <v>132</v>
      </c>
      <c r="D76" s="4"/>
      <c r="E76" s="4"/>
      <c r="F76" s="2" t="s">
        <v>132</v>
      </c>
      <c r="I76" s="18"/>
      <c r="J76" s="19"/>
      <c r="K76" s="4"/>
      <c r="O76" s="12"/>
      <c r="P76"/>
      <c r="Q76"/>
      <c r="R76"/>
    </row>
    <row r="77" spans="2:18" hidden="1" x14ac:dyDescent="0.2">
      <c r="B77" s="5" t="s">
        <v>25</v>
      </c>
      <c r="C77" s="4" t="s">
        <v>135</v>
      </c>
      <c r="D77" s="4"/>
      <c r="E77" s="4"/>
      <c r="F77" s="2" t="s">
        <v>168</v>
      </c>
      <c r="I77" s="18"/>
      <c r="J77" s="19"/>
      <c r="K77" s="4"/>
      <c r="O77" s="12"/>
      <c r="P77"/>
      <c r="Q77"/>
      <c r="R77"/>
    </row>
    <row r="78" spans="2:18" hidden="1" x14ac:dyDescent="0.2">
      <c r="B78" s="5" t="s">
        <v>28</v>
      </c>
      <c r="C78" s="4" t="s">
        <v>136</v>
      </c>
      <c r="D78" s="4"/>
      <c r="E78" s="4"/>
      <c r="F78" s="2" t="s">
        <v>169</v>
      </c>
      <c r="I78" s="18"/>
      <c r="J78" s="19"/>
      <c r="K78" s="4"/>
      <c r="O78"/>
      <c r="P78"/>
      <c r="Q78"/>
      <c r="R78"/>
    </row>
    <row r="79" spans="2:18" hidden="1" x14ac:dyDescent="0.2">
      <c r="B79" s="5" t="s">
        <v>30</v>
      </c>
      <c r="C79" s="4" t="s">
        <v>137</v>
      </c>
      <c r="D79" s="4"/>
      <c r="E79" s="4"/>
      <c r="F79" s="2" t="s">
        <v>170</v>
      </c>
      <c r="I79" s="18"/>
      <c r="J79" s="19"/>
      <c r="K79" s="4"/>
      <c r="O79"/>
      <c r="P79"/>
      <c r="Q79"/>
      <c r="R79"/>
    </row>
    <row r="80" spans="2:18" hidden="1" x14ac:dyDescent="0.2">
      <c r="B80" s="5" t="s">
        <v>32</v>
      </c>
      <c r="C80" s="4" t="s">
        <v>138</v>
      </c>
      <c r="D80" s="4"/>
      <c r="E80" s="4"/>
      <c r="F80" s="2" t="s">
        <v>171</v>
      </c>
      <c r="I80" s="18"/>
      <c r="J80" s="19"/>
      <c r="K80" s="4"/>
      <c r="O80"/>
      <c r="P80"/>
      <c r="Q80"/>
      <c r="R80"/>
    </row>
    <row r="81" spans="2:18" hidden="1" x14ac:dyDescent="0.2">
      <c r="B81" s="5" t="s">
        <v>33</v>
      </c>
      <c r="C81" s="4" t="s">
        <v>139</v>
      </c>
      <c r="D81" s="4"/>
      <c r="E81" s="4"/>
      <c r="F81" s="2" t="s">
        <v>172</v>
      </c>
      <c r="I81" s="18"/>
      <c r="J81" s="19"/>
      <c r="K81" s="4"/>
      <c r="O81" s="13"/>
      <c r="P81"/>
      <c r="Q81"/>
      <c r="R81"/>
    </row>
    <row r="82" spans="2:18" hidden="1" x14ac:dyDescent="0.2">
      <c r="B82" s="5" t="s">
        <v>35</v>
      </c>
      <c r="C82" s="4"/>
      <c r="D82" s="4"/>
      <c r="E82" s="4"/>
      <c r="F82" s="2" t="s">
        <v>173</v>
      </c>
      <c r="I82" s="18"/>
      <c r="J82" s="19"/>
      <c r="K82" s="4"/>
      <c r="O82" s="13"/>
      <c r="P82" s="13"/>
      <c r="Q82" s="13"/>
      <c r="R82" s="13"/>
    </row>
    <row r="83" spans="2:18" hidden="1" x14ac:dyDescent="0.2">
      <c r="B83" s="5" t="s">
        <v>37</v>
      </c>
      <c r="C83" s="4"/>
      <c r="D83" s="4"/>
      <c r="E83" s="4"/>
      <c r="F83" s="2" t="s">
        <v>174</v>
      </c>
      <c r="I83" s="18"/>
      <c r="J83" s="19"/>
      <c r="K83" s="4"/>
      <c r="O83" s="12"/>
      <c r="P83"/>
      <c r="Q83"/>
      <c r="R83"/>
    </row>
    <row r="84" spans="2:18" hidden="1" x14ac:dyDescent="0.2">
      <c r="B84" s="5" t="s">
        <v>39</v>
      </c>
      <c r="C84" s="4"/>
      <c r="D84" s="4"/>
      <c r="E84" s="4"/>
      <c r="F84" s="2" t="s">
        <v>175</v>
      </c>
      <c r="I84" s="18"/>
      <c r="J84" s="19"/>
      <c r="K84" s="4"/>
      <c r="O84" s="12"/>
      <c r="P84"/>
      <c r="Q84"/>
      <c r="R84"/>
    </row>
    <row r="85" spans="2:18" hidden="1" x14ac:dyDescent="0.2">
      <c r="B85" s="5" t="s">
        <v>41</v>
      </c>
      <c r="C85" s="4" t="s">
        <v>9</v>
      </c>
      <c r="D85" s="4"/>
      <c r="E85" s="4"/>
      <c r="F85" s="2" t="s">
        <v>176</v>
      </c>
      <c r="I85" s="18"/>
      <c r="J85" s="19"/>
      <c r="K85" s="4"/>
      <c r="O85" s="12"/>
      <c r="P85"/>
      <c r="Q85"/>
      <c r="R85"/>
    </row>
    <row r="86" spans="2:18" hidden="1" x14ac:dyDescent="0.2">
      <c r="B86" s="5" t="s">
        <v>43</v>
      </c>
      <c r="C86" s="4" t="s">
        <v>132</v>
      </c>
      <c r="D86" s="4"/>
      <c r="E86" s="4"/>
      <c r="F86" s="2" t="s">
        <v>177</v>
      </c>
      <c r="I86" s="18"/>
      <c r="J86" s="19"/>
      <c r="K86" s="4"/>
      <c r="O86" s="12"/>
      <c r="P86"/>
      <c r="Q86"/>
      <c r="R86"/>
    </row>
    <row r="87" spans="2:18" hidden="1" x14ac:dyDescent="0.2">
      <c r="B87" s="5" t="s">
        <v>45</v>
      </c>
      <c r="C87" s="4" t="s">
        <v>140</v>
      </c>
      <c r="D87" s="4"/>
      <c r="E87" s="4"/>
      <c r="F87" s="2" t="s">
        <v>178</v>
      </c>
      <c r="I87" s="18"/>
      <c r="J87" s="19"/>
      <c r="K87" s="4"/>
      <c r="O87"/>
      <c r="P87"/>
      <c r="Q87"/>
      <c r="R87"/>
    </row>
    <row r="88" spans="2:18" hidden="1" x14ac:dyDescent="0.2">
      <c r="B88" s="5" t="s">
        <v>47</v>
      </c>
      <c r="C88" s="4" t="s">
        <v>137</v>
      </c>
      <c r="D88" s="4"/>
      <c r="E88" s="4"/>
      <c r="F88" s="2" t="s">
        <v>24</v>
      </c>
      <c r="I88" s="18"/>
      <c r="J88" s="19"/>
      <c r="K88" s="4"/>
      <c r="O88"/>
      <c r="P88"/>
      <c r="Q88"/>
      <c r="R88"/>
    </row>
    <row r="89" spans="2:18" hidden="1" x14ac:dyDescent="0.2">
      <c r="B89" s="5" t="s">
        <v>20</v>
      </c>
      <c r="C89" s="4" t="s">
        <v>141</v>
      </c>
      <c r="D89" s="4"/>
      <c r="E89" s="4"/>
      <c r="F89" s="2" t="s">
        <v>179</v>
      </c>
      <c r="I89" s="18"/>
      <c r="J89" s="19"/>
      <c r="K89" s="4"/>
      <c r="O89" s="13"/>
      <c r="P89"/>
      <c r="Q89"/>
      <c r="R89"/>
    </row>
    <row r="90" spans="2:18" hidden="1" x14ac:dyDescent="0.2">
      <c r="B90" s="5" t="s">
        <v>49</v>
      </c>
      <c r="C90" s="4" t="s">
        <v>142</v>
      </c>
      <c r="D90" s="4"/>
      <c r="E90" s="4"/>
      <c r="F90" s="2" t="s">
        <v>180</v>
      </c>
      <c r="I90" s="18"/>
      <c r="J90" s="19"/>
      <c r="K90" s="4"/>
      <c r="O90"/>
      <c r="P90"/>
      <c r="Q90"/>
      <c r="R90"/>
    </row>
    <row r="91" spans="2:18" hidden="1" x14ac:dyDescent="0.2">
      <c r="B91" s="5" t="s">
        <v>51</v>
      </c>
      <c r="C91" s="4"/>
      <c r="D91" s="4"/>
      <c r="E91" s="4"/>
      <c r="F91" s="2" t="s">
        <v>89</v>
      </c>
      <c r="I91" s="18"/>
      <c r="J91" s="19"/>
      <c r="K91" s="4"/>
      <c r="O91"/>
      <c r="P91"/>
      <c r="Q91"/>
      <c r="R91"/>
    </row>
    <row r="92" spans="2:18" hidden="1" x14ac:dyDescent="0.2">
      <c r="B92" s="5" t="s">
        <v>52</v>
      </c>
      <c r="C92" s="4"/>
      <c r="D92" s="4"/>
      <c r="E92" s="4"/>
      <c r="F92" s="2" t="s">
        <v>181</v>
      </c>
      <c r="I92" s="18"/>
      <c r="J92" s="19"/>
      <c r="K92" s="4"/>
      <c r="O92"/>
      <c r="P92"/>
      <c r="Q92"/>
      <c r="R92"/>
    </row>
    <row r="93" spans="2:18" hidden="1" x14ac:dyDescent="0.2">
      <c r="B93" s="5" t="s">
        <v>54</v>
      </c>
      <c r="C93" s="4" t="s">
        <v>143</v>
      </c>
      <c r="D93" s="4"/>
      <c r="E93" s="4"/>
      <c r="F93" s="2" t="s">
        <v>182</v>
      </c>
      <c r="I93" s="18"/>
      <c r="J93" s="19"/>
      <c r="K93" s="4"/>
      <c r="O93"/>
      <c r="P93"/>
      <c r="Q93"/>
      <c r="R93"/>
    </row>
    <row r="94" spans="2:18" hidden="1" x14ac:dyDescent="0.2">
      <c r="B94" s="5" t="s">
        <v>57</v>
      </c>
      <c r="C94" s="4">
        <v>6</v>
      </c>
      <c r="D94" s="4"/>
      <c r="E94" s="4"/>
      <c r="F94" s="2" t="s">
        <v>183</v>
      </c>
      <c r="I94" s="18"/>
      <c r="J94" s="19"/>
      <c r="K94" s="4"/>
      <c r="O94"/>
      <c r="P94"/>
      <c r="Q94"/>
      <c r="R94"/>
    </row>
    <row r="95" spans="2:18" hidden="1" x14ac:dyDescent="0.2">
      <c r="B95" s="5" t="s">
        <v>58</v>
      </c>
      <c r="C95" s="4">
        <v>7</v>
      </c>
      <c r="D95" s="4"/>
      <c r="E95" s="4"/>
      <c r="F95" s="2" t="s">
        <v>184</v>
      </c>
      <c r="I95" s="18"/>
      <c r="J95" s="19"/>
      <c r="K95" s="4"/>
    </row>
    <row r="96" spans="2:18" hidden="1" x14ac:dyDescent="0.2">
      <c r="B96" s="5" t="s">
        <v>59</v>
      </c>
      <c r="C96" s="4">
        <v>8</v>
      </c>
      <c r="D96" s="4"/>
      <c r="E96" s="4"/>
      <c r="F96" s="2" t="s">
        <v>185</v>
      </c>
      <c r="I96" s="18"/>
      <c r="J96" s="19"/>
      <c r="K96" s="4"/>
    </row>
    <row r="97" spans="2:11" hidden="1" x14ac:dyDescent="0.2">
      <c r="B97" s="5" t="s">
        <v>61</v>
      </c>
      <c r="C97" s="4">
        <v>9</v>
      </c>
      <c r="D97" s="4"/>
      <c r="E97" s="4"/>
      <c r="F97" s="2" t="s">
        <v>186</v>
      </c>
      <c r="I97" s="18"/>
      <c r="J97" s="19"/>
      <c r="K97" s="4"/>
    </row>
    <row r="98" spans="2:11" hidden="1" x14ac:dyDescent="0.2">
      <c r="B98" s="5" t="s">
        <v>63</v>
      </c>
      <c r="C98" s="4">
        <v>10</v>
      </c>
      <c r="D98" s="4"/>
      <c r="E98" s="4"/>
      <c r="F98" s="2" t="s">
        <v>187</v>
      </c>
      <c r="I98" s="18"/>
      <c r="J98" s="19"/>
      <c r="K98" s="4"/>
    </row>
    <row r="99" spans="2:11" hidden="1" x14ac:dyDescent="0.2">
      <c r="B99" s="5" t="s">
        <v>65</v>
      </c>
      <c r="C99" s="4"/>
      <c r="D99" s="4"/>
      <c r="E99" s="4"/>
      <c r="F99" s="2" t="s">
        <v>188</v>
      </c>
      <c r="I99" s="18"/>
      <c r="J99" s="19"/>
      <c r="K99" s="4"/>
    </row>
    <row r="100" spans="2:11" hidden="1" x14ac:dyDescent="0.2">
      <c r="B100" s="5" t="s">
        <v>66</v>
      </c>
      <c r="C100" s="4"/>
      <c r="D100" s="4"/>
      <c r="E100" s="4"/>
      <c r="F100" s="2" t="s">
        <v>189</v>
      </c>
      <c r="I100" s="18"/>
      <c r="J100" s="19"/>
      <c r="K100" s="4"/>
    </row>
    <row r="101" spans="2:11" hidden="1" x14ac:dyDescent="0.2">
      <c r="B101" s="5" t="s">
        <v>67</v>
      </c>
      <c r="C101" s="4"/>
      <c r="D101" s="4"/>
      <c r="E101" s="4"/>
      <c r="F101" s="2" t="s">
        <v>190</v>
      </c>
      <c r="I101" s="18"/>
      <c r="J101" s="19"/>
      <c r="K101" s="4"/>
    </row>
    <row r="102" spans="2:11" hidden="1" x14ac:dyDescent="0.2">
      <c r="B102" s="5" t="s">
        <v>68</v>
      </c>
      <c r="C102" s="4"/>
      <c r="D102" s="4"/>
      <c r="E102" s="4"/>
      <c r="F102" s="2" t="s">
        <v>192</v>
      </c>
      <c r="I102" s="18"/>
      <c r="J102" s="19"/>
      <c r="K102" s="4"/>
    </row>
    <row r="103" spans="2:11" hidden="1" x14ac:dyDescent="0.2">
      <c r="B103" s="5" t="s">
        <v>70</v>
      </c>
      <c r="C103" s="4"/>
      <c r="D103" s="4"/>
      <c r="E103" s="4"/>
      <c r="F103" s="2" t="s">
        <v>191</v>
      </c>
      <c r="I103" s="18"/>
      <c r="J103" s="19"/>
      <c r="K103" s="4"/>
    </row>
    <row r="104" spans="2:11" hidden="1" x14ac:dyDescent="0.2">
      <c r="B104" s="5" t="s">
        <v>72</v>
      </c>
      <c r="C104" s="4"/>
      <c r="D104" s="4"/>
      <c r="E104" s="4"/>
      <c r="F104" s="2" t="s">
        <v>101</v>
      </c>
      <c r="I104" s="18"/>
      <c r="J104" s="19"/>
      <c r="K104" s="4"/>
    </row>
    <row r="105" spans="2:11" hidden="1" x14ac:dyDescent="0.2">
      <c r="B105" s="5" t="s">
        <v>17</v>
      </c>
      <c r="C105" s="4"/>
      <c r="D105" s="4"/>
      <c r="E105" s="4"/>
      <c r="G105" s="10"/>
      <c r="I105" s="20"/>
      <c r="J105" s="19"/>
      <c r="K105" s="4"/>
    </row>
    <row r="106" spans="2:11" hidden="1" x14ac:dyDescent="0.2">
      <c r="B106" s="5" t="s">
        <v>73</v>
      </c>
      <c r="C106" s="4"/>
      <c r="D106" s="4"/>
      <c r="E106" s="4"/>
      <c r="G106" s="10"/>
      <c r="I106" s="18"/>
      <c r="J106" s="19"/>
      <c r="K106" s="4"/>
    </row>
    <row r="107" spans="2:11" hidden="1" x14ac:dyDescent="0.2">
      <c r="B107" s="5" t="s">
        <v>74</v>
      </c>
      <c r="C107" s="4"/>
      <c r="D107" s="4"/>
      <c r="E107" s="4"/>
      <c r="G107" s="10"/>
      <c r="I107" s="20"/>
      <c r="J107" s="19"/>
      <c r="K107" s="4"/>
    </row>
    <row r="108" spans="2:11" hidden="1" x14ac:dyDescent="0.2">
      <c r="B108" s="5" t="s">
        <v>75</v>
      </c>
      <c r="C108" s="4"/>
      <c r="D108" s="4"/>
      <c r="E108" s="4"/>
      <c r="G108" s="10"/>
      <c r="H108" s="10"/>
      <c r="I108" s="20"/>
      <c r="J108" s="19"/>
      <c r="K108" s="4"/>
    </row>
    <row r="109" spans="2:11" hidden="1" x14ac:dyDescent="0.2">
      <c r="B109" s="5" t="s">
        <v>76</v>
      </c>
      <c r="C109" s="4"/>
      <c r="D109" s="4"/>
      <c r="E109" s="4"/>
      <c r="G109" s="10"/>
      <c r="H109" s="10"/>
      <c r="I109" s="20"/>
      <c r="J109" s="19"/>
      <c r="K109" s="4"/>
    </row>
    <row r="110" spans="2:11" hidden="1" x14ac:dyDescent="0.2">
      <c r="B110" s="11" t="s">
        <v>78</v>
      </c>
      <c r="C110" s="4"/>
      <c r="D110" s="4"/>
      <c r="E110" s="4"/>
      <c r="G110" s="10"/>
      <c r="H110" s="10"/>
      <c r="I110" s="20"/>
      <c r="J110" s="19"/>
      <c r="K110" s="4"/>
    </row>
    <row r="111" spans="2:11" hidden="1" x14ac:dyDescent="0.2">
      <c r="B111" s="11" t="s">
        <v>79</v>
      </c>
      <c r="C111" s="4"/>
      <c r="D111" s="4"/>
      <c r="E111" s="4"/>
      <c r="G111" s="10"/>
      <c r="H111" s="10"/>
      <c r="I111" s="20"/>
      <c r="J111" s="19"/>
      <c r="K111" s="4"/>
    </row>
    <row r="112" spans="2:11" hidden="1" x14ac:dyDescent="0.2">
      <c r="B112" s="11" t="s">
        <v>81</v>
      </c>
      <c r="C112" s="4"/>
      <c r="D112" s="4"/>
      <c r="E112" s="4"/>
      <c r="G112" s="10"/>
      <c r="H112" s="10"/>
      <c r="I112" s="20"/>
      <c r="J112" s="19"/>
      <c r="K112" s="4"/>
    </row>
    <row r="113" spans="2:11" hidden="1" x14ac:dyDescent="0.2">
      <c r="B113" s="11" t="s">
        <v>84</v>
      </c>
      <c r="C113" s="4"/>
      <c r="D113" s="4"/>
      <c r="E113" s="4"/>
      <c r="G113" s="10"/>
      <c r="H113" s="10"/>
      <c r="I113" s="20"/>
      <c r="J113" s="19"/>
      <c r="K113" s="4"/>
    </row>
    <row r="114" spans="2:11" hidden="1" x14ac:dyDescent="0.2">
      <c r="B114" s="11" t="s">
        <v>86</v>
      </c>
      <c r="C114" s="4"/>
      <c r="D114" s="4"/>
      <c r="E114" s="4"/>
      <c r="G114" s="10"/>
      <c r="H114" s="10"/>
      <c r="I114" s="20"/>
      <c r="J114" s="19"/>
      <c r="K114" s="4"/>
    </row>
    <row r="115" spans="2:11" hidden="1" x14ac:dyDescent="0.2">
      <c r="B115" s="11" t="s">
        <v>88</v>
      </c>
      <c r="C115" s="4"/>
      <c r="D115" s="4"/>
      <c r="E115" s="4"/>
      <c r="G115" s="10"/>
      <c r="H115" s="10"/>
      <c r="I115" s="20"/>
      <c r="J115" s="19"/>
      <c r="K115" s="4"/>
    </row>
    <row r="116" spans="2:11" hidden="1" x14ac:dyDescent="0.2">
      <c r="B116" s="11" t="s">
        <v>91</v>
      </c>
      <c r="C116" s="4"/>
      <c r="D116" s="4"/>
      <c r="E116" s="4"/>
      <c r="G116" s="10"/>
      <c r="H116" s="10"/>
      <c r="I116" s="20"/>
      <c r="J116" s="19"/>
      <c r="K116" s="4"/>
    </row>
    <row r="117" spans="2:11" hidden="1" x14ac:dyDescent="0.2">
      <c r="B117" s="11" t="s">
        <v>94</v>
      </c>
      <c r="C117" s="4"/>
      <c r="D117" s="4"/>
      <c r="E117" s="4"/>
      <c r="G117" s="10"/>
      <c r="H117" s="10"/>
      <c r="I117" s="20"/>
      <c r="J117" s="19"/>
      <c r="K117" s="4"/>
    </row>
    <row r="118" spans="2:11" hidden="1" x14ac:dyDescent="0.2">
      <c r="B118" s="5" t="s">
        <v>93</v>
      </c>
      <c r="C118" s="4"/>
      <c r="D118" s="4"/>
      <c r="E118" s="4"/>
      <c r="G118" s="10"/>
      <c r="H118" s="10"/>
      <c r="I118" s="20"/>
      <c r="J118" s="19"/>
      <c r="K118" s="4"/>
    </row>
    <row r="119" spans="2:11" hidden="1" x14ac:dyDescent="0.2">
      <c r="B119" s="11" t="s">
        <v>97</v>
      </c>
      <c r="C119" s="4"/>
      <c r="D119" s="4"/>
      <c r="E119" s="4"/>
      <c r="G119" s="10"/>
      <c r="I119" s="20"/>
      <c r="J119" s="19"/>
      <c r="K119" s="4"/>
    </row>
    <row r="120" spans="2:11" hidden="1" x14ac:dyDescent="0.2">
      <c r="B120" s="11" t="s">
        <v>99</v>
      </c>
      <c r="C120" s="4"/>
      <c r="D120" s="4"/>
      <c r="E120" s="4"/>
      <c r="G120" s="10"/>
      <c r="I120" s="20"/>
      <c r="J120" s="19"/>
      <c r="K120" s="4"/>
    </row>
    <row r="121" spans="2:11" hidden="1" x14ac:dyDescent="0.2">
      <c r="B121" s="11" t="s">
        <v>100</v>
      </c>
      <c r="C121" s="4"/>
      <c r="D121" s="4"/>
      <c r="E121" s="4"/>
      <c r="G121" s="10"/>
      <c r="I121" s="20"/>
      <c r="J121" s="19"/>
      <c r="K121" s="4"/>
    </row>
    <row r="122" spans="2:11" hidden="1" x14ac:dyDescent="0.2">
      <c r="B122" s="11" t="s">
        <v>103</v>
      </c>
      <c r="C122" s="4"/>
      <c r="D122" s="4"/>
      <c r="E122" s="4"/>
      <c r="G122" s="10"/>
      <c r="H122" s="10"/>
      <c r="I122" s="20"/>
      <c r="J122" s="19"/>
      <c r="K122" s="4"/>
    </row>
    <row r="123" spans="2:11" hidden="1" x14ac:dyDescent="0.2">
      <c r="B123" s="11" t="s">
        <v>105</v>
      </c>
      <c r="C123" s="4"/>
      <c r="D123" s="4"/>
      <c r="E123" s="4"/>
      <c r="G123" s="10"/>
      <c r="I123" s="20"/>
      <c r="J123" s="19"/>
      <c r="K123" s="4"/>
    </row>
    <row r="124" spans="2:11" hidden="1" x14ac:dyDescent="0.2">
      <c r="B124" s="11" t="s">
        <v>107</v>
      </c>
      <c r="C124" s="4"/>
      <c r="D124" s="4"/>
      <c r="E124" s="4"/>
      <c r="G124" s="10"/>
      <c r="I124" s="20"/>
      <c r="J124" s="19"/>
      <c r="K124" s="4"/>
    </row>
    <row r="125" spans="2:11" hidden="1" x14ac:dyDescent="0.2">
      <c r="B125" s="11" t="s">
        <v>109</v>
      </c>
      <c r="C125" s="4"/>
      <c r="D125" s="4"/>
      <c r="E125" s="4"/>
      <c r="G125" s="10"/>
      <c r="H125" s="10"/>
      <c r="I125" s="20"/>
      <c r="J125" s="19"/>
      <c r="K125" s="4"/>
    </row>
    <row r="126" spans="2:11" hidden="1" x14ac:dyDescent="0.2">
      <c r="B126" s="11" t="s">
        <v>111</v>
      </c>
      <c r="C126" s="4"/>
      <c r="D126" s="4"/>
      <c r="E126" s="4"/>
      <c r="G126" s="10"/>
      <c r="H126" s="10"/>
      <c r="I126" s="20"/>
      <c r="J126" s="19"/>
      <c r="K126" s="4"/>
    </row>
    <row r="127" spans="2:11" hidden="1" x14ac:dyDescent="0.2">
      <c r="B127" s="11" t="s">
        <v>113</v>
      </c>
      <c r="C127" s="4"/>
      <c r="D127" s="4"/>
      <c r="E127" s="4"/>
      <c r="G127" s="10"/>
      <c r="I127" s="20"/>
      <c r="J127" s="19"/>
      <c r="K127" s="4"/>
    </row>
    <row r="128" spans="2:11" hidden="1" x14ac:dyDescent="0.2">
      <c r="B128" s="11" t="s">
        <v>115</v>
      </c>
      <c r="C128" s="4"/>
      <c r="D128" s="4"/>
      <c r="E128" s="4"/>
      <c r="G128" s="10"/>
      <c r="I128" s="20"/>
      <c r="J128" s="19"/>
      <c r="K128" s="4"/>
    </row>
    <row r="129" spans="2:12" hidden="1" x14ac:dyDescent="0.2">
      <c r="B129" s="11" t="s">
        <v>117</v>
      </c>
      <c r="C129" s="4"/>
      <c r="D129" s="4"/>
      <c r="E129" s="4"/>
      <c r="G129" s="10"/>
      <c r="I129" s="20"/>
      <c r="J129" s="19"/>
      <c r="K129" s="4"/>
    </row>
    <row r="130" spans="2:12" hidden="1" x14ac:dyDescent="0.2">
      <c r="B130" s="11" t="s">
        <v>119</v>
      </c>
      <c r="C130" s="4"/>
      <c r="D130" s="4"/>
      <c r="E130" s="4"/>
      <c r="G130" s="10"/>
      <c r="H130" s="10"/>
      <c r="I130" s="20"/>
      <c r="J130" s="19"/>
      <c r="K130" s="4"/>
    </row>
    <row r="131" spans="2:12" hidden="1" x14ac:dyDescent="0.2">
      <c r="B131" s="11" t="s">
        <v>120</v>
      </c>
      <c r="C131" s="4"/>
      <c r="D131" s="4"/>
      <c r="E131" s="4"/>
      <c r="G131" s="10"/>
      <c r="I131" s="20"/>
      <c r="J131" s="19"/>
      <c r="K131" s="4"/>
    </row>
    <row r="132" spans="2:12" hidden="1" x14ac:dyDescent="0.2">
      <c r="B132" s="11" t="s">
        <v>121</v>
      </c>
      <c r="C132" s="4"/>
      <c r="D132" s="4"/>
      <c r="E132" s="4"/>
      <c r="G132" s="10"/>
      <c r="I132" s="20"/>
      <c r="J132" s="19"/>
      <c r="K132" s="4"/>
    </row>
    <row r="133" spans="2:12" hidden="1" x14ac:dyDescent="0.2">
      <c r="B133" s="11" t="s">
        <v>122</v>
      </c>
      <c r="C133" s="4"/>
      <c r="D133" s="4"/>
      <c r="E133" s="4"/>
      <c r="G133" s="10"/>
      <c r="I133" s="20"/>
      <c r="J133" s="19"/>
      <c r="K133" s="4"/>
    </row>
    <row r="134" spans="2:12" hidden="1" x14ac:dyDescent="0.2">
      <c r="B134" s="11" t="s">
        <v>124</v>
      </c>
      <c r="C134" s="4"/>
      <c r="D134" s="4"/>
      <c r="E134" s="4"/>
      <c r="G134" s="10"/>
      <c r="I134" s="20"/>
      <c r="J134" s="19"/>
      <c r="K134" s="4"/>
    </row>
    <row r="135" spans="2:12" hidden="1" x14ac:dyDescent="0.2">
      <c r="B135" s="11" t="s">
        <v>125</v>
      </c>
      <c r="C135" s="4"/>
      <c r="D135" s="4"/>
      <c r="E135" s="4"/>
      <c r="G135" s="10"/>
      <c r="I135" s="20"/>
      <c r="J135" s="19"/>
      <c r="K135" s="4"/>
    </row>
    <row r="136" spans="2:12" hidden="1" x14ac:dyDescent="0.2">
      <c r="B136" s="11" t="s">
        <v>126</v>
      </c>
      <c r="C136" s="4"/>
      <c r="D136" s="4"/>
      <c r="E136" s="4"/>
      <c r="G136" s="10"/>
      <c r="I136" s="20"/>
      <c r="J136" s="19"/>
      <c r="K136" s="4"/>
    </row>
    <row r="137" spans="2:12" hidden="1" x14ac:dyDescent="0.2">
      <c r="B137" s="11" t="s">
        <v>127</v>
      </c>
      <c r="C137" s="14"/>
      <c r="D137" s="14"/>
      <c r="E137" s="14"/>
      <c r="F137" s="10"/>
      <c r="G137" s="10"/>
      <c r="H137" s="10"/>
      <c r="I137" s="20"/>
      <c r="J137" s="21"/>
      <c r="K137" s="14"/>
      <c r="L137" s="10"/>
    </row>
    <row r="138" spans="2:12" hidden="1" x14ac:dyDescent="0.2">
      <c r="B138" s="11" t="s">
        <v>128</v>
      </c>
    </row>
    <row r="139" spans="2:12" hidden="1" x14ac:dyDescent="0.2">
      <c r="B139" s="11" t="s">
        <v>129</v>
      </c>
    </row>
    <row r="140" spans="2:12" hidden="1" x14ac:dyDescent="0.2">
      <c r="B140" s="11" t="s">
        <v>130</v>
      </c>
    </row>
  </sheetData>
  <phoneticPr fontId="1" type="noConversion"/>
  <dataValidations count="5">
    <dataValidation type="list" allowBlank="1" showInputMessage="1" showErrorMessage="1" sqref="B3:B31">
      <formula1>$B$75:$B$140</formula1>
    </dataValidation>
    <dataValidation type="list" allowBlank="1" showInputMessage="1" showErrorMessage="1" sqref="K3:K31">
      <formula1>$C$94:$C$98</formula1>
    </dataValidation>
    <dataValidation type="list" allowBlank="1" showInputMessage="1" showErrorMessage="1" sqref="O3:O31">
      <formula1>$C$77:$C$81</formula1>
    </dataValidation>
    <dataValidation type="list" allowBlank="1" showInputMessage="1" showErrorMessage="1" sqref="S3:S31">
      <formula1>$C$87:$C$90</formula1>
    </dataValidation>
    <dataValidation type="list" allowBlank="1" showInputMessage="1" showErrorMessage="1" sqref="W3:AI31">
      <formula1>$F$77:$F$104</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L140"/>
  <sheetViews>
    <sheetView topLeftCell="A3" zoomScale="80" zoomScaleNormal="80" workbookViewId="0">
      <selection activeCell="C9" sqref="C9"/>
    </sheetView>
  </sheetViews>
  <sheetFormatPr defaultRowHeight="12.75" x14ac:dyDescent="0.2"/>
  <cols>
    <col min="1" max="1" width="13.7109375" style="64" customWidth="1"/>
    <col min="2" max="2" width="23.42578125" style="5" customWidth="1"/>
    <col min="3" max="3" width="15.42578125" style="2" bestFit="1" customWidth="1"/>
    <col min="4" max="4" width="12.7109375" style="2" hidden="1" customWidth="1"/>
    <col min="5" max="5" width="17.28515625" style="62" hidden="1" customWidth="1"/>
    <col min="6" max="6" width="17" style="2" bestFit="1" customWidth="1"/>
    <col min="7" max="7" width="7.42578125" style="2" customWidth="1"/>
    <col min="8" max="8" width="8.42578125" style="2" customWidth="1"/>
    <col min="9" max="9" width="13.5703125" style="16" customWidth="1"/>
    <col min="10" max="10" width="12" style="16" customWidth="1"/>
    <col min="11" max="11" width="8.140625" style="2" customWidth="1"/>
    <col min="12" max="12" width="7.85546875" style="2" hidden="1" customWidth="1"/>
    <col min="13" max="13" width="11.140625" style="2" customWidth="1"/>
    <col min="14" max="14" width="19.5703125" style="2" customWidth="1"/>
    <col min="15" max="15" width="18" style="2" bestFit="1" customWidth="1"/>
    <col min="16" max="16" width="13.85546875" style="2" hidden="1" customWidth="1"/>
    <col min="17" max="18" width="16.42578125" style="2" hidden="1" customWidth="1"/>
    <col min="19" max="19" width="13.42578125" style="2" bestFit="1" customWidth="1"/>
    <col min="20" max="20" width="14" style="2" hidden="1" customWidth="1"/>
    <col min="21" max="22" width="16.5703125" style="2" hidden="1" customWidth="1"/>
    <col min="23" max="23" width="15.85546875" style="2" customWidth="1"/>
    <col min="24" max="26" width="15.85546875" style="2" hidden="1" customWidth="1"/>
    <col min="27" max="27" width="15.85546875" style="2" customWidth="1"/>
    <col min="28" max="30" width="15.85546875" style="2" hidden="1" customWidth="1"/>
    <col min="31" max="31" width="15.85546875" style="2" customWidth="1"/>
    <col min="32" max="34" width="15.85546875" style="2" hidden="1" customWidth="1"/>
    <col min="35" max="35" width="15.85546875" style="2" customWidth="1"/>
    <col min="36" max="38" width="0" style="2" hidden="1" customWidth="1"/>
    <col min="39" max="16384" width="9.140625" style="2"/>
  </cols>
  <sheetData>
    <row r="1" spans="1:38" x14ac:dyDescent="0.2">
      <c r="B1" s="23" t="s">
        <v>209</v>
      </c>
      <c r="C1" s="10" t="s">
        <v>418</v>
      </c>
    </row>
    <row r="2" spans="1:38" x14ac:dyDescent="0.2">
      <c r="B2" s="3" t="s">
        <v>0</v>
      </c>
      <c r="C2" s="1" t="s">
        <v>1</v>
      </c>
      <c r="D2" s="1" t="s">
        <v>56</v>
      </c>
      <c r="E2" s="1" t="s">
        <v>414</v>
      </c>
      <c r="F2" s="1" t="s">
        <v>2</v>
      </c>
      <c r="G2" s="1" t="s">
        <v>3</v>
      </c>
      <c r="H2" s="1" t="s">
        <v>4</v>
      </c>
      <c r="I2" s="15" t="s">
        <v>5</v>
      </c>
      <c r="J2" s="15" t="s">
        <v>6</v>
      </c>
      <c r="K2" s="1" t="s">
        <v>7</v>
      </c>
      <c r="L2" s="1" t="s">
        <v>16</v>
      </c>
      <c r="M2" s="1" t="s">
        <v>156</v>
      </c>
      <c r="N2" s="1" t="s">
        <v>155</v>
      </c>
      <c r="O2" s="1" t="s">
        <v>8</v>
      </c>
      <c r="P2" s="1" t="s">
        <v>12</v>
      </c>
      <c r="Q2" s="1" t="s">
        <v>10</v>
      </c>
      <c r="R2" s="1" t="s">
        <v>11</v>
      </c>
      <c r="S2" s="1" t="s">
        <v>9</v>
      </c>
      <c r="T2" s="1" t="s">
        <v>13</v>
      </c>
      <c r="U2" s="1" t="s">
        <v>14</v>
      </c>
      <c r="V2" s="1" t="s">
        <v>15</v>
      </c>
      <c r="W2" s="1" t="s">
        <v>193</v>
      </c>
      <c r="X2" s="10" t="s">
        <v>195</v>
      </c>
      <c r="Y2" s="10" t="s">
        <v>196</v>
      </c>
      <c r="Z2" s="10" t="s">
        <v>197</v>
      </c>
      <c r="AA2" s="1" t="s">
        <v>194</v>
      </c>
      <c r="AB2" s="10" t="s">
        <v>198</v>
      </c>
      <c r="AC2" s="10" t="s">
        <v>199</v>
      </c>
      <c r="AD2" s="10" t="s">
        <v>200</v>
      </c>
      <c r="AE2" s="1" t="s">
        <v>201</v>
      </c>
      <c r="AF2" s="10" t="s">
        <v>202</v>
      </c>
      <c r="AG2" s="10" t="s">
        <v>203</v>
      </c>
      <c r="AH2" s="10" t="s">
        <v>204</v>
      </c>
      <c r="AI2" s="1" t="s">
        <v>205</v>
      </c>
      <c r="AJ2" s="10" t="s">
        <v>206</v>
      </c>
      <c r="AK2" s="10" t="s">
        <v>207</v>
      </c>
      <c r="AL2" s="10" t="s">
        <v>208</v>
      </c>
    </row>
    <row r="3" spans="1:38" x14ac:dyDescent="0.2">
      <c r="A3" s="64" t="s">
        <v>420</v>
      </c>
      <c r="B3" s="5" t="s">
        <v>17</v>
      </c>
      <c r="C3" s="43">
        <f>((((VLOOKUP($B3,'TL6-12 Elements'!$A$2:$I$67,2,FALSE))*L3)*M3)*(1+P3+T3+X3+AB3+AF3+AJ3))*N3</f>
        <v>20</v>
      </c>
      <c r="D3" s="43">
        <f>VLOOKUP($B3,'TL6-12 Elements'!$A$2:$I$67,3,FALSE)</f>
        <v>0</v>
      </c>
      <c r="E3" s="43">
        <f>IF(AND(COUNTIF(F3:F3,"*C3I*"),D3=1),C3*-0.1,0)</f>
        <v>0</v>
      </c>
      <c r="F3" s="43" t="str">
        <f>VLOOKUP($B3,'TL6-12 Elements'!$A$2:$I$67,4,FALSE)</f>
        <v>F, Rec</v>
      </c>
      <c r="G3" s="43">
        <f>VLOOKUP($B3,'TL6-12 Elements'!$A$2:$I$67,5,FALSE)</f>
        <v>1</v>
      </c>
      <c r="H3" s="43" t="str">
        <f>VLOOKUP($B3,'TL6-12 Elements'!$A$2:$I$67,6,FALSE)</f>
        <v>Foot</v>
      </c>
      <c r="I3" s="45">
        <f>(((VLOOKUP($B3,'TL6-12 Elements'!$A$2:$I$67,7,FALSE))*M3)*(1+Q3+U3+Y3+AC3+AG3+AK3))*N3</f>
        <v>15000</v>
      </c>
      <c r="J3" s="45">
        <f>(((VLOOKUP($B3,'TL6-12 Elements'!$A$2:$I$67,8,FALSE))*M3)*(1+R3+V3+Z3+AD3+AH3+AL3))*N3</f>
        <v>3000</v>
      </c>
      <c r="K3" s="10">
        <v>7</v>
      </c>
      <c r="L3" s="10">
        <f>IF(VLOOKUP($B3,'TL6-12 Elements'!$A$2:$I$67,9,FALSE)-$K3=0,1,IF(VLOOKUP($B3,'TL6-12 Elements'!$A$2:$I$67,9,FALSE)-$K3=-1,2,IF(VLOOKUP($B3,'TL6-12 Elements'!$A$2:$I$67,9,FALSE)-$K3=-2,4,IF(VLOOKUP($B3,'TL6-12 Elements'!$A$2:$I$67,9,FALSE)-$K3=-3,8,IF(VLOOKUP($B3,'TL6-12 Elements'!$A$2:$I$67,9,FALSE)-$K3=-4,16,"Invalid")))))</f>
        <v>2</v>
      </c>
      <c r="M3" s="10">
        <v>1</v>
      </c>
      <c r="N3" s="44">
        <v>1</v>
      </c>
      <c r="O3" s="2" t="s">
        <v>139</v>
      </c>
      <c r="P3" s="2">
        <f>VLOOKUP($O3,'Equipment &amp; Troop Q'!$A$3:$D$7,2,FALSE)</f>
        <v>-0.25</v>
      </c>
      <c r="Q3" s="2">
        <f>VLOOKUP($O3,'Equipment &amp; Troop Q'!$A$3:$D$7,3,FALSE)</f>
        <v>-0.25</v>
      </c>
      <c r="R3" s="2">
        <f>VLOOKUP($O3,'Equipment &amp; Troop Q'!$A$3:$D$7,4,FALSE)</f>
        <v>-0.25</v>
      </c>
      <c r="S3" s="2" t="s">
        <v>142</v>
      </c>
      <c r="T3" s="2">
        <f>VLOOKUP($S3,'Equipment &amp; Troop Q'!$A$13:$D$16,2,FALSE)</f>
        <v>-0.5</v>
      </c>
      <c r="U3" s="2">
        <f>IF(OR(W3="Fanatic",AA3="Fanatic",AE3="Fanatic",AI3="Fanatic"),VLOOKUP($S3,'Equipment &amp; Troop Q'!$A$18:$D$19,3,FALSE),VLOOKUP($S3,'Equipment &amp; Troop Q'!$A$13:$D$16,3,FALSE))</f>
        <v>-0.5</v>
      </c>
      <c r="V3" s="2">
        <f>VLOOKUP($S3,'Equipment &amp; Troop Q'!$A$13:$D$16,4,FALSE)</f>
        <v>-0.5</v>
      </c>
      <c r="W3" s="2" t="s">
        <v>101</v>
      </c>
      <c r="X3" s="2">
        <f>VLOOKUP($W3,'Equipment &amp; Troop Q'!$F$3:$I$30,2,FALSE)</f>
        <v>0</v>
      </c>
      <c r="Y3" s="2">
        <f>VLOOKUP($W3,'Equipment &amp; Troop Q'!$F$3:$I$30,3,FALSE)</f>
        <v>0</v>
      </c>
      <c r="Z3" s="2">
        <f>VLOOKUP($W3,'Equipment &amp; Troop Q'!$F$3:$I$30,4,FALSE)</f>
        <v>0</v>
      </c>
      <c r="AA3" s="2" t="s">
        <v>101</v>
      </c>
      <c r="AB3" s="2">
        <f>VLOOKUP($AA3,'Equipment &amp; Troop Q'!$F$3:$I$30,2,FALSE)</f>
        <v>0</v>
      </c>
      <c r="AC3" s="2">
        <f>VLOOKUP($AA3,'Equipment &amp; Troop Q'!$F$3:$I$30,3,FALSE)</f>
        <v>0</v>
      </c>
      <c r="AD3" s="2">
        <f>VLOOKUP($AA3,'Equipment &amp; Troop Q'!$F$3:$I$30,4,FALSE)</f>
        <v>0</v>
      </c>
      <c r="AE3" s="2" t="s">
        <v>101</v>
      </c>
      <c r="AF3" s="2">
        <f>VLOOKUP($AE3,'Equipment &amp; Troop Q'!$F$3:$I$30,2,FALSE)</f>
        <v>0</v>
      </c>
      <c r="AG3" s="2">
        <f>VLOOKUP($AE3,'Equipment &amp; Troop Q'!$F$3:$I$30,3,FALSE)</f>
        <v>0</v>
      </c>
      <c r="AH3" s="2">
        <f>VLOOKUP($AE3,'Equipment &amp; Troop Q'!$F$3:$I$30,4,FALSE)</f>
        <v>0</v>
      </c>
      <c r="AI3" s="2" t="s">
        <v>101</v>
      </c>
      <c r="AJ3" s="2">
        <f>VLOOKUP($AI3,'Equipment &amp; Troop Q'!$F$3:$I$30,2,FALSE)</f>
        <v>0</v>
      </c>
      <c r="AK3" s="2">
        <f>VLOOKUP($AI3,'Equipment &amp; Troop Q'!$F$3:$I$30,3,FALSE)</f>
        <v>0</v>
      </c>
      <c r="AL3" s="2">
        <f>VLOOKUP($AI3,'Equipment &amp; Troop Q'!$F$3:$I$30,4,FALSE)</f>
        <v>0</v>
      </c>
    </row>
    <row r="4" spans="1:38" x14ac:dyDescent="0.2">
      <c r="A4" s="64" t="s">
        <v>418</v>
      </c>
      <c r="B4" s="5" t="s">
        <v>17</v>
      </c>
      <c r="C4" s="43">
        <f>((((VLOOKUP($B4,'TL6-12 Elements'!$A$2:$I$67,2,FALSE))*L4)*M4)*(1+P4+T4+X4+AB4+AF4+AJ4))*N4</f>
        <v>0</v>
      </c>
      <c r="D4" s="43">
        <f>VLOOKUP($B4,'TL6-12 Elements'!$A$2:$I$67,3,FALSE)</f>
        <v>0</v>
      </c>
      <c r="E4" s="43">
        <f>IF(AND(COUNTIF(F4:F4,"*C3I*"),D4=1),C4*-0.1,0)</f>
        <v>0</v>
      </c>
      <c r="F4" s="43" t="str">
        <f>VLOOKUP($B4,'TL6-12 Elements'!$A$2:$I$67,4,FALSE)</f>
        <v>F, Rec</v>
      </c>
      <c r="G4" s="43">
        <f>VLOOKUP($B4,'TL6-12 Elements'!$A$2:$I$67,5,FALSE)</f>
        <v>1</v>
      </c>
      <c r="H4" s="43" t="str">
        <f>VLOOKUP($B4,'TL6-12 Elements'!$A$2:$I$67,6,FALSE)</f>
        <v>Foot</v>
      </c>
      <c r="I4" s="45">
        <f>(((VLOOKUP($B4,'TL6-12 Elements'!$A$2:$I$67,7,FALSE))*M4)*(1+Q4+U4+Y4+AC4+AG4+AK4))*N4</f>
        <v>0</v>
      </c>
      <c r="J4" s="45">
        <f>(((VLOOKUP($B4,'TL6-12 Elements'!$A$2:$I$67,8,FALSE))*M4)*(1+R4+V4+Z4+AD4+AH4+AL4))*N4</f>
        <v>0</v>
      </c>
      <c r="K4" s="10">
        <v>7</v>
      </c>
      <c r="L4" s="10">
        <f>IF(VLOOKUP($B4,'TL6-12 Elements'!$A$2:$I$67,9,FALSE)-$K4=0,1,IF(VLOOKUP($B4,'TL6-12 Elements'!$A$2:$I$67,9,FALSE)-$K4=-1,2,IF(VLOOKUP($B4,'TL6-12 Elements'!$A$2:$I$67,9,FALSE)-$K4=-2,4,IF(VLOOKUP($B4,'TL6-12 Elements'!$A$2:$I$67,9,FALSE)-$K4=-3,8,IF(VLOOKUP($B4,'TL6-12 Elements'!$A$2:$I$67,9,FALSE)-$K4=-4,16,"Invalid")))))</f>
        <v>2</v>
      </c>
      <c r="M4" s="10">
        <v>0</v>
      </c>
      <c r="N4" s="44">
        <v>1</v>
      </c>
      <c r="O4" s="2" t="s">
        <v>138</v>
      </c>
      <c r="P4" s="2">
        <f>VLOOKUP(O4,'Equipment &amp; Troop Q'!$A$3:$D$7,2,FALSE)</f>
        <v>0</v>
      </c>
      <c r="Q4" s="2">
        <f>VLOOKUP($O4,'Equipment &amp; Troop Q'!$A$3:$D$7,3,FALSE)</f>
        <v>0</v>
      </c>
      <c r="R4" s="2">
        <f>VLOOKUP($O4,'Equipment &amp; Troop Q'!$A$3:$D$7,4,FALSE)</f>
        <v>0</v>
      </c>
      <c r="S4" s="2" t="s">
        <v>141</v>
      </c>
      <c r="T4" s="2">
        <f>VLOOKUP($S4,'Equipment &amp; Troop Q'!$A$13:$D$16,2,FALSE)</f>
        <v>0</v>
      </c>
      <c r="U4" s="2">
        <f>IF(OR(W4="Fanatic",AA4="Fanatic",AE4="Fanatic",AI4="Fanatic"),VLOOKUP($S4,'Equipment &amp; Troop Q'!$A$18:$D$19,3,FALSE),VLOOKUP($S4,'Equipment &amp; Troop Q'!$A$13:$D$16,3,FALSE))</f>
        <v>0</v>
      </c>
      <c r="V4" s="2">
        <f>VLOOKUP($S4,'Equipment &amp; Troop Q'!$A$13:$D$16,4,FALSE)</f>
        <v>0</v>
      </c>
      <c r="W4" s="2" t="s">
        <v>101</v>
      </c>
      <c r="X4" s="2">
        <f>VLOOKUP(W4,'Equipment &amp; Troop Q'!F$3:I$30,2,FALSE)</f>
        <v>0</v>
      </c>
      <c r="Y4" s="2">
        <f>VLOOKUP($W4,'Equipment &amp; Troop Q'!$F$3:$I$30,3,FALSE)</f>
        <v>0</v>
      </c>
      <c r="Z4" s="2">
        <f>VLOOKUP($W4,'Equipment &amp; Troop Q'!$F$3:$I$30,4,FALSE)</f>
        <v>0</v>
      </c>
      <c r="AA4" s="2" t="s">
        <v>101</v>
      </c>
      <c r="AB4" s="2">
        <f>VLOOKUP($AA4,'Equipment &amp; Troop Q'!$F$3:$I$30,2,FALSE)</f>
        <v>0</v>
      </c>
      <c r="AC4" s="2">
        <f>VLOOKUP($AA4,'Equipment &amp; Troop Q'!$F$3:$I$30,3,FALSE)</f>
        <v>0</v>
      </c>
      <c r="AD4" s="2">
        <f>VLOOKUP($AA4,'Equipment &amp; Troop Q'!$F$3:$I$30,4,FALSE)</f>
        <v>0</v>
      </c>
      <c r="AE4" s="2" t="s">
        <v>101</v>
      </c>
      <c r="AF4" s="2">
        <f>VLOOKUP($AE4,'Equipment &amp; Troop Q'!$F$3:$I$30,2,FALSE)</f>
        <v>0</v>
      </c>
      <c r="AG4" s="2">
        <f>VLOOKUP($AE4,'Equipment &amp; Troop Q'!$F$3:$I$30,3,FALSE)</f>
        <v>0</v>
      </c>
      <c r="AH4" s="2">
        <f>VLOOKUP($AE4,'Equipment &amp; Troop Q'!$F$3:$I$30,4,FALSE)</f>
        <v>0</v>
      </c>
      <c r="AI4" s="2" t="s">
        <v>101</v>
      </c>
      <c r="AJ4" s="2">
        <f>VLOOKUP($AI4,'Equipment &amp; Troop Q'!$F$3:$I$30,2,FALSE)</f>
        <v>0</v>
      </c>
      <c r="AK4" s="2">
        <f>VLOOKUP($AI4,'Equipment &amp; Troop Q'!$F$3:$I$30,3,FALSE)</f>
        <v>0</v>
      </c>
      <c r="AL4" s="2">
        <f>VLOOKUP($AI4,'Equipment &amp; Troop Q'!$F$3:$I$30,4,FALSE)</f>
        <v>0</v>
      </c>
    </row>
    <row r="5" spans="1:38" x14ac:dyDescent="0.2">
      <c r="A5" s="64" t="s">
        <v>421</v>
      </c>
      <c r="B5" s="5" t="s">
        <v>17</v>
      </c>
      <c r="C5" s="43">
        <f>((((VLOOKUP($B5,'TL6-12 Elements'!$A$2:$I$67,2,FALSE))*L5)*M5)*(1+P5+T5+X5+AB5+AF5+AJ5))*N5</f>
        <v>0</v>
      </c>
      <c r="D5" s="43">
        <f>VLOOKUP($B5,'TL6-12 Elements'!$A$2:$I$67,3,FALSE)</f>
        <v>0</v>
      </c>
      <c r="E5" s="43">
        <f>IF(AND(COUNTIF(F5:F5,"*C3I*"),D5=1),C5*-0.1,0)</f>
        <v>0</v>
      </c>
      <c r="F5" s="43" t="str">
        <f>VLOOKUP($B5,'TL6-12 Elements'!$A$2:$I$67,4,FALSE)</f>
        <v>F, Rec</v>
      </c>
      <c r="G5" s="43">
        <f>VLOOKUP($B5,'TL6-12 Elements'!$A$2:$I$67,5,FALSE)</f>
        <v>1</v>
      </c>
      <c r="H5" s="43" t="str">
        <f>VLOOKUP($B5,'TL6-12 Elements'!$A$2:$I$67,6,FALSE)</f>
        <v>Foot</v>
      </c>
      <c r="I5" s="45">
        <f>(((VLOOKUP($B5,'TL6-12 Elements'!$A$2:$I$67,7,FALSE))*M5)*(1+Q5+U5+Y5+AC5+AG5+AK5))*N5</f>
        <v>0</v>
      </c>
      <c r="J5" s="45">
        <f>(((VLOOKUP($B5,'TL6-12 Elements'!$A$2:$I$67,8,FALSE))*M5)*(1+R5+V5+Z5+AD5+AH5+AL5))*N5</f>
        <v>0</v>
      </c>
      <c r="K5" s="10">
        <v>7</v>
      </c>
      <c r="L5" s="10">
        <f>IF(VLOOKUP($B5,'TL6-12 Elements'!$A$2:$I$67,9,FALSE)-$K5=0,1,IF(VLOOKUP($B5,'TL6-12 Elements'!$A$2:$I$67,9,FALSE)-$K5=-1,2,IF(VLOOKUP($B5,'TL6-12 Elements'!$A$2:$I$67,9,FALSE)-$K5=-2,4,IF(VLOOKUP($B5,'TL6-12 Elements'!$A$2:$I$67,9,FALSE)-$K5=-3,8,IF(VLOOKUP($B5,'TL6-12 Elements'!$A$2:$I$67,9,FALSE)-$K5=-4,16,"Invalid")))))</f>
        <v>2</v>
      </c>
      <c r="M5" s="10">
        <v>0</v>
      </c>
      <c r="N5" s="44">
        <v>1</v>
      </c>
      <c r="O5" s="2" t="s">
        <v>137</v>
      </c>
      <c r="P5" s="2">
        <f>VLOOKUP(O5,'Equipment &amp; Troop Q'!$A$3:$D$7,2,FALSE)</f>
        <v>0.5</v>
      </c>
      <c r="Q5" s="2">
        <f>VLOOKUP($O5,'Equipment &amp; Troop Q'!$A$3:$D$7,3,FALSE)</f>
        <v>0.5</v>
      </c>
      <c r="R5" s="2">
        <f>VLOOKUP($O5,'Equipment &amp; Troop Q'!$A$3:$D$7,4,FALSE)</f>
        <v>0.5</v>
      </c>
      <c r="S5" s="2" t="s">
        <v>137</v>
      </c>
      <c r="T5" s="2">
        <f>VLOOKUP($S5,'Equipment &amp; Troop Q'!$A$13:$D$16,2,FALSE)</f>
        <v>0.5</v>
      </c>
      <c r="U5" s="2">
        <f>IF(OR(W5="Fanatic",AA5="Fanatic",AE5="Fanatic",AI5="Fanatic"),VLOOKUP($S5,'Equipment &amp; Troop Q'!$A$18:$D$19,3,FALSE),VLOOKUP($S5,'Equipment &amp; Troop Q'!$A$13:$D$16,3,FALSE))</f>
        <v>1</v>
      </c>
      <c r="V5" s="2">
        <f>VLOOKUP($S5,'Equipment &amp; Troop Q'!$A$13:$D$16,4,FALSE)</f>
        <v>0.2</v>
      </c>
      <c r="W5" s="2" t="s">
        <v>101</v>
      </c>
      <c r="X5" s="2">
        <f>VLOOKUP(W5,'Equipment &amp; Troop Q'!F$3:I$30,2,FALSE)</f>
        <v>0</v>
      </c>
      <c r="Y5" s="2">
        <f>VLOOKUP($W5,'Equipment &amp; Troop Q'!$F$3:$I$30,3,FALSE)</f>
        <v>0</v>
      </c>
      <c r="Z5" s="2">
        <f>VLOOKUP($W5,'Equipment &amp; Troop Q'!$F$3:$I$30,4,FALSE)</f>
        <v>0</v>
      </c>
      <c r="AA5" s="2" t="s">
        <v>101</v>
      </c>
      <c r="AB5" s="2">
        <f>VLOOKUP($AA5,'Equipment &amp; Troop Q'!$F$3:$I$30,2,FALSE)</f>
        <v>0</v>
      </c>
      <c r="AC5" s="2">
        <f>VLOOKUP($AA5,'Equipment &amp; Troop Q'!$F$3:$I$30,3,FALSE)</f>
        <v>0</v>
      </c>
      <c r="AD5" s="2">
        <f>VLOOKUP($AA5,'Equipment &amp; Troop Q'!$F$3:$I$30,4,FALSE)</f>
        <v>0</v>
      </c>
      <c r="AE5" s="2" t="s">
        <v>101</v>
      </c>
      <c r="AF5" s="2">
        <f>VLOOKUP($AE5,'Equipment &amp; Troop Q'!$F$3:$I$30,2,FALSE)</f>
        <v>0</v>
      </c>
      <c r="AG5" s="2">
        <f>VLOOKUP($AE5,'Equipment &amp; Troop Q'!$F$3:$I$30,3,FALSE)</f>
        <v>0</v>
      </c>
      <c r="AH5" s="2">
        <f>VLOOKUP($AE5,'Equipment &amp; Troop Q'!$F$3:$I$30,4,FALSE)</f>
        <v>0</v>
      </c>
      <c r="AI5" s="2" t="s">
        <v>101</v>
      </c>
      <c r="AJ5" s="2">
        <f>VLOOKUP($AI5,'Equipment &amp; Troop Q'!$F$3:$I$30,2,FALSE)</f>
        <v>0</v>
      </c>
      <c r="AK5" s="2">
        <f>VLOOKUP($AI5,'Equipment &amp; Troop Q'!$F$3:$I$30,3,FALSE)</f>
        <v>0</v>
      </c>
      <c r="AL5" s="2">
        <f>VLOOKUP($AI5,'Equipment &amp; Troop Q'!$F$3:$I$30,4,FALSE)</f>
        <v>0</v>
      </c>
    </row>
    <row r="6" spans="1:38" x14ac:dyDescent="0.2">
      <c r="A6" s="64" t="s">
        <v>424</v>
      </c>
      <c r="B6" s="5" t="s">
        <v>17</v>
      </c>
      <c r="C6" s="43">
        <f>((((VLOOKUP($B6,'TL6-12 Elements'!$A$2:$I$67,2,FALSE))*L6)*M6)*(1+P6+T6+X6+AB6+AF6+AJ6))*N6</f>
        <v>96</v>
      </c>
      <c r="D6" s="43">
        <f>VLOOKUP($B6,'TL6-12 Elements'!$A$2:$I$67,3,FALSE)</f>
        <v>0</v>
      </c>
      <c r="E6" s="43">
        <f>IF(AND(COUNTIF(F6:F6,"*C3I*"),D6=1),C6*-0.1,0)</f>
        <v>0</v>
      </c>
      <c r="F6" s="43" t="str">
        <f>VLOOKUP($B6,'TL6-12 Elements'!$A$2:$I$67,4,FALSE)</f>
        <v>F, Rec</v>
      </c>
      <c r="G6" s="43">
        <f>VLOOKUP($B6,'TL6-12 Elements'!$A$2:$I$67,5,FALSE)</f>
        <v>1</v>
      </c>
      <c r="H6" s="43" t="str">
        <f>VLOOKUP($B6,'TL6-12 Elements'!$A$2:$I$67,6,FALSE)</f>
        <v>Foot</v>
      </c>
      <c r="I6" s="45">
        <f>(((VLOOKUP($B6,'TL6-12 Elements'!$A$2:$I$67,7,FALSE))*M6)*(1+Q6+U6+Y6+AC6+AG6+AK6))*N6</f>
        <v>36000</v>
      </c>
      <c r="J6" s="45">
        <f>(((VLOOKUP($B6,'TL6-12 Elements'!$A$2:$I$67,8,FALSE))*M6)*(1+R6+V6+Z6+AD6+AH6+AL6))*N6</f>
        <v>7200</v>
      </c>
      <c r="K6" s="10">
        <v>8</v>
      </c>
      <c r="L6" s="10">
        <f>IF(VLOOKUP($B6,'TL6-12 Elements'!$A$2:$I$67,9,FALSE)-$K6=0,1,IF(VLOOKUP($B6,'TL6-12 Elements'!$A$2:$I$67,9,FALSE)-$K6=-1,2,IF(VLOOKUP($B6,'TL6-12 Elements'!$A$2:$I$67,9,FALSE)-$K6=-2,4,IF(VLOOKUP($B6,'TL6-12 Elements'!$A$2:$I$67,9,FALSE)-$K6=-3,8,IF(VLOOKUP($B6,'TL6-12 Elements'!$A$2:$I$67,9,FALSE)-$K6=-4,16,"Invalid")))))</f>
        <v>4</v>
      </c>
      <c r="M6" s="10">
        <v>4</v>
      </c>
      <c r="N6" s="44">
        <v>0.1</v>
      </c>
      <c r="O6" s="2" t="s">
        <v>137</v>
      </c>
      <c r="P6" s="2">
        <f>VLOOKUP(O6,'Equipment &amp; Troop Q'!$A$3:$D$7,2,FALSE)</f>
        <v>0.5</v>
      </c>
      <c r="Q6" s="2">
        <f>VLOOKUP($O6,'Equipment &amp; Troop Q'!$A$3:$D$7,3,FALSE)</f>
        <v>0.5</v>
      </c>
      <c r="R6" s="2">
        <f>VLOOKUP($O6,'Equipment &amp; Troop Q'!$A$3:$D$7,4,FALSE)</f>
        <v>0.5</v>
      </c>
      <c r="S6" s="2" t="s">
        <v>141</v>
      </c>
      <c r="T6" s="2">
        <f>VLOOKUP($S6,'Equipment &amp; Troop Q'!$A$13:$D$16,2,FALSE)</f>
        <v>0</v>
      </c>
      <c r="U6" s="2">
        <f>IF(OR(W6="Fanatic",AA6="Fanatic",AE6="Fanatic",AI6="Fanatic"),VLOOKUP($S6,'Equipment &amp; Troop Q'!$A$18:$D$19,3,FALSE),VLOOKUP($S6,'Equipment &amp; Troop Q'!$A$13:$D$16,3,FALSE))</f>
        <v>0</v>
      </c>
      <c r="V6" s="2">
        <f>VLOOKUP($S6,'Equipment &amp; Troop Q'!$A$13:$D$16,4,FALSE)</f>
        <v>0</v>
      </c>
      <c r="W6" s="2" t="s">
        <v>101</v>
      </c>
      <c r="X6" s="2">
        <f>VLOOKUP(W6,'Equipment &amp; Troop Q'!F$3:I$30,2,FALSE)</f>
        <v>0</v>
      </c>
      <c r="Y6" s="2">
        <f>VLOOKUP($W6,'Equipment &amp; Troop Q'!$F$3:$I$30,3,FALSE)</f>
        <v>0</v>
      </c>
      <c r="Z6" s="2">
        <f>VLOOKUP($W6,'Equipment &amp; Troop Q'!$F$3:$I$30,4,FALSE)</f>
        <v>0</v>
      </c>
      <c r="AA6" s="2" t="s">
        <v>101</v>
      </c>
      <c r="AB6" s="2">
        <f>VLOOKUP($AA6,'Equipment &amp; Troop Q'!$F$3:$I$30,2,FALSE)</f>
        <v>0</v>
      </c>
      <c r="AC6" s="2">
        <f>VLOOKUP($AA6,'Equipment &amp; Troop Q'!$F$3:$I$30,3,FALSE)</f>
        <v>0</v>
      </c>
      <c r="AD6" s="2">
        <f>VLOOKUP($AA6,'Equipment &amp; Troop Q'!$F$3:$I$30,4,FALSE)</f>
        <v>0</v>
      </c>
      <c r="AE6" s="2" t="s">
        <v>101</v>
      </c>
      <c r="AF6" s="2">
        <f>VLOOKUP($AE6,'Equipment &amp; Troop Q'!$F$3:$I$30,2,FALSE)</f>
        <v>0</v>
      </c>
      <c r="AG6" s="2">
        <f>VLOOKUP($AE6,'Equipment &amp; Troop Q'!$F$3:$I$30,3,FALSE)</f>
        <v>0</v>
      </c>
      <c r="AH6" s="2">
        <f>VLOOKUP($AE6,'Equipment &amp; Troop Q'!$F$3:$I$30,4,FALSE)</f>
        <v>0</v>
      </c>
      <c r="AI6" s="2" t="s">
        <v>101</v>
      </c>
      <c r="AJ6" s="2">
        <f>VLOOKUP($AI6,'Equipment &amp; Troop Q'!$F$3:$I$30,2,FALSE)</f>
        <v>0</v>
      </c>
      <c r="AK6" s="2">
        <f>VLOOKUP($AI6,'Equipment &amp; Troop Q'!$F$3:$I$30,3,FALSE)</f>
        <v>0</v>
      </c>
      <c r="AL6" s="2">
        <f>VLOOKUP($AI6,'Equipment &amp; Troop Q'!$F$3:$I$30,4,FALSE)</f>
        <v>0</v>
      </c>
    </row>
    <row r="7" spans="1:38" x14ac:dyDescent="0.2">
      <c r="A7" s="64" t="s">
        <v>425</v>
      </c>
      <c r="B7" s="5" t="s">
        <v>17</v>
      </c>
      <c r="C7" s="43">
        <f>((((VLOOKUP($B7,'TL6-12 Elements'!$A$2:$I$67,2,FALSE))*L7)*M7)*(1+P7+T7+X7+AB7+AF7+AJ7))*N7</f>
        <v>0</v>
      </c>
      <c r="D7" s="43">
        <f>VLOOKUP($B7,'TL6-12 Elements'!$A$2:$I$67,3,FALSE)</f>
        <v>0</v>
      </c>
      <c r="E7" s="43">
        <f t="shared" ref="E7:E31" si="0">IF(AND(COUNTIF(F7:F7,"*C3I*"),D7=1),C7*-0.1,0)</f>
        <v>0</v>
      </c>
      <c r="F7" s="43" t="str">
        <f>VLOOKUP($B7,'TL6-12 Elements'!$A$2:$I$67,4,FALSE)</f>
        <v>F, Rec</v>
      </c>
      <c r="G7" s="43">
        <f>VLOOKUP($B7,'TL6-12 Elements'!$A$2:$I$67,5,FALSE)</f>
        <v>1</v>
      </c>
      <c r="H7" s="43" t="str">
        <f>VLOOKUP($B7,'TL6-12 Elements'!$A$2:$I$67,6,FALSE)</f>
        <v>Foot</v>
      </c>
      <c r="I7" s="45">
        <f>(((VLOOKUP($B7,'TL6-12 Elements'!$A$2:$I$67,7,FALSE))*M7)*(1+Q7+U7+Y7+AC7+AG7+AK7))*N7</f>
        <v>0</v>
      </c>
      <c r="J7" s="45">
        <f>(((VLOOKUP($B7,'TL6-12 Elements'!$A$2:$I$67,8,FALSE))*M7)*(1+R7+V7+Z7+AD7+AH7+AL7))*N7</f>
        <v>0</v>
      </c>
      <c r="K7" s="10">
        <v>8</v>
      </c>
      <c r="L7" s="10">
        <f>IF(VLOOKUP($B7,'TL6-12 Elements'!$A$2:$I$67,9,FALSE)-$K7=0,1,IF(VLOOKUP($B7,'TL6-12 Elements'!$A$2:$I$67,9,FALSE)-$K7=-1,2,IF(VLOOKUP($B7,'TL6-12 Elements'!$A$2:$I$67,9,FALSE)-$K7=-2,4,IF(VLOOKUP($B7,'TL6-12 Elements'!$A$2:$I$67,9,FALSE)-$K7=-3,8,IF(VLOOKUP($B7,'TL6-12 Elements'!$A$2:$I$67,9,FALSE)-$K7=-4,16,"Invalid")))))</f>
        <v>4</v>
      </c>
      <c r="M7" s="10">
        <v>0</v>
      </c>
      <c r="N7" s="44">
        <v>0.1</v>
      </c>
      <c r="O7" s="2" t="s">
        <v>136</v>
      </c>
      <c r="P7" s="2">
        <f>VLOOKUP(O7,'Equipment &amp; Troop Q'!$A$3:$D$7,2,FALSE)</f>
        <v>1</v>
      </c>
      <c r="Q7" s="2">
        <f>VLOOKUP($O7,'Equipment &amp; Troop Q'!$A$3:$D$7,3,FALSE)</f>
        <v>1</v>
      </c>
      <c r="R7" s="2">
        <f>VLOOKUP($O7,'Equipment &amp; Troop Q'!$A$3:$D$7,4,FALSE)</f>
        <v>1</v>
      </c>
      <c r="S7" s="2" t="s">
        <v>137</v>
      </c>
      <c r="T7" s="2">
        <f>VLOOKUP($S7,'Equipment &amp; Troop Q'!$A$13:$D$16,2,FALSE)</f>
        <v>0.5</v>
      </c>
      <c r="U7" s="2">
        <f>IF(OR(W7="Fanatic",AA7="Fanatic",AE7="Fanatic",AI7="Fanatic"),VLOOKUP($S7,'Equipment &amp; Troop Q'!$A$18:$D$19,3,FALSE),VLOOKUP($S7,'Equipment &amp; Troop Q'!$A$13:$D$16,3,FALSE))</f>
        <v>1</v>
      </c>
      <c r="V7" s="2">
        <f>VLOOKUP($S7,'Equipment &amp; Troop Q'!$A$13:$D$16,4,FALSE)</f>
        <v>0.2</v>
      </c>
      <c r="W7" s="2" t="s">
        <v>101</v>
      </c>
      <c r="X7" s="2">
        <f>VLOOKUP(W7,'Equipment &amp; Troop Q'!F$3:I$30,2,FALSE)</f>
        <v>0</v>
      </c>
      <c r="Y7" s="2">
        <f>VLOOKUP($W7,'Equipment &amp; Troop Q'!$F$3:$I$30,3,FALSE)</f>
        <v>0</v>
      </c>
      <c r="Z7" s="2">
        <f>VLOOKUP($W7,'Equipment &amp; Troop Q'!$F$3:$I$30,4,FALSE)</f>
        <v>0</v>
      </c>
      <c r="AA7" s="2" t="s">
        <v>101</v>
      </c>
      <c r="AB7" s="2">
        <f>VLOOKUP($AA7,'Equipment &amp; Troop Q'!$F$3:$I$30,2,FALSE)</f>
        <v>0</v>
      </c>
      <c r="AC7" s="2">
        <f>VLOOKUP($AA7,'Equipment &amp; Troop Q'!$F$3:$I$30,3,FALSE)</f>
        <v>0</v>
      </c>
      <c r="AD7" s="2">
        <f>VLOOKUP($AA7,'Equipment &amp; Troop Q'!$F$3:$I$30,4,FALSE)</f>
        <v>0</v>
      </c>
      <c r="AE7" s="2" t="s">
        <v>101</v>
      </c>
      <c r="AF7" s="2">
        <f>VLOOKUP($AE7,'Equipment &amp; Troop Q'!$F$3:$I$30,2,FALSE)</f>
        <v>0</v>
      </c>
      <c r="AG7" s="2">
        <f>VLOOKUP($AE7,'Equipment &amp; Troop Q'!$F$3:$I$30,3,FALSE)</f>
        <v>0</v>
      </c>
      <c r="AH7" s="2">
        <f>VLOOKUP($AE7,'Equipment &amp; Troop Q'!$F$3:$I$30,4,FALSE)</f>
        <v>0</v>
      </c>
      <c r="AI7" s="2" t="s">
        <v>101</v>
      </c>
      <c r="AJ7" s="2">
        <f>VLOOKUP($AI7,'Equipment &amp; Troop Q'!$F$3:$I$30,2,FALSE)</f>
        <v>0</v>
      </c>
      <c r="AK7" s="2">
        <f>VLOOKUP($AI7,'Equipment &amp; Troop Q'!$F$3:$I$30,3,FALSE)</f>
        <v>0</v>
      </c>
      <c r="AL7" s="2">
        <f>VLOOKUP($AI7,'Equipment &amp; Troop Q'!$F$3:$I$30,4,FALSE)</f>
        <v>0</v>
      </c>
    </row>
    <row r="8" spans="1:38" x14ac:dyDescent="0.2">
      <c r="A8" s="64" t="s">
        <v>426</v>
      </c>
      <c r="B8" s="5" t="s">
        <v>17</v>
      </c>
      <c r="C8" s="43">
        <f>((((VLOOKUP($B8,'TL6-12 Elements'!$A$2:$I$67,2,FALSE))*L8)*M8)*(1+P8+T8+X8+AB8+AF8+AJ8))*N8</f>
        <v>0</v>
      </c>
      <c r="D8" s="43">
        <f>VLOOKUP($B8,'TL6-12 Elements'!$A$2:$I$67,3,FALSE)</f>
        <v>0</v>
      </c>
      <c r="E8" s="43">
        <f t="shared" si="0"/>
        <v>0</v>
      </c>
      <c r="F8" s="43" t="str">
        <f>VLOOKUP($B8,'TL6-12 Elements'!$A$2:$I$67,4,FALSE)</f>
        <v>F, Rec</v>
      </c>
      <c r="G8" s="43">
        <f>VLOOKUP($B8,'TL6-12 Elements'!$A$2:$I$67,5,FALSE)</f>
        <v>1</v>
      </c>
      <c r="H8" s="43" t="str">
        <f>VLOOKUP($B8,'TL6-12 Elements'!$A$2:$I$67,6,FALSE)</f>
        <v>Foot</v>
      </c>
      <c r="I8" s="45">
        <f>(((VLOOKUP($B8,'TL6-12 Elements'!$A$2:$I$67,7,FALSE))*M8)*(1+Q8+U8+Y8+AC8+AG8+AK8))*N8</f>
        <v>0</v>
      </c>
      <c r="J8" s="45">
        <f>(((VLOOKUP($B8,'TL6-12 Elements'!$A$2:$I$67,8,FALSE))*M8)*(1+R8+V8+Z8+AD8+AH8+AL8))*N8</f>
        <v>0</v>
      </c>
      <c r="K8" s="10">
        <v>8</v>
      </c>
      <c r="L8" s="10">
        <f>IF(VLOOKUP($B8,'TL6-12 Elements'!$A$2:$I$67,9,FALSE)-$K8=0,1,IF(VLOOKUP($B8,'TL6-12 Elements'!$A$2:$I$67,9,FALSE)-$K8=-1,2,IF(VLOOKUP($B8,'TL6-12 Elements'!$A$2:$I$67,9,FALSE)-$K8=-2,4,IF(VLOOKUP($B8,'TL6-12 Elements'!$A$2:$I$67,9,FALSE)-$K8=-3,8,IF(VLOOKUP($B8,'TL6-12 Elements'!$A$2:$I$67,9,FALSE)-$K8=-4,16,"Invalid")))))</f>
        <v>4</v>
      </c>
      <c r="M8" s="10">
        <v>0</v>
      </c>
      <c r="N8" s="44">
        <v>0.1</v>
      </c>
      <c r="O8" s="2" t="s">
        <v>135</v>
      </c>
      <c r="P8" s="2">
        <f>VLOOKUP(O8,'Equipment &amp; Troop Q'!$A$3:$D$7,2,FALSE)</f>
        <v>1.5</v>
      </c>
      <c r="Q8" s="2">
        <f>VLOOKUP($O8,'Equipment &amp; Troop Q'!$A$3:$D$7,3,FALSE)</f>
        <v>2</v>
      </c>
      <c r="R8" s="2">
        <f>VLOOKUP($O8,'Equipment &amp; Troop Q'!$A$3:$D$7,4,FALSE)</f>
        <v>1.5</v>
      </c>
      <c r="S8" s="2" t="s">
        <v>140</v>
      </c>
      <c r="T8" s="2">
        <f>VLOOKUP($S8,'Equipment &amp; Troop Q'!$A$13:$D$16,2,FALSE)</f>
        <v>1</v>
      </c>
      <c r="U8" s="2">
        <f>IF(OR(W8="Fanatic",AA8="Fanatic",AE8="Fanatic",AI8="Fanatic"),VLOOKUP($S8,'Equipment &amp; Troop Q'!$A$18:$D$19,3,FALSE),VLOOKUP($S8,'Equipment &amp; Troop Q'!$A$13:$D$16,3,FALSE))</f>
        <v>2</v>
      </c>
      <c r="V8" s="2">
        <f>VLOOKUP($S8,'Equipment &amp; Troop Q'!$A$13:$D$16,4,FALSE)</f>
        <v>0.4</v>
      </c>
      <c r="W8" s="2" t="s">
        <v>101</v>
      </c>
      <c r="X8" s="2">
        <f>VLOOKUP(W8,'Equipment &amp; Troop Q'!F$3:I$30,2,FALSE)</f>
        <v>0</v>
      </c>
      <c r="Y8" s="2">
        <f>VLOOKUP($W8,'Equipment &amp; Troop Q'!$F$3:$I$30,3,FALSE)</f>
        <v>0</v>
      </c>
      <c r="Z8" s="2">
        <f>VLOOKUP($W8,'Equipment &amp; Troop Q'!$F$3:$I$30,4,FALSE)</f>
        <v>0</v>
      </c>
      <c r="AA8" s="2" t="s">
        <v>101</v>
      </c>
      <c r="AB8" s="2">
        <f>VLOOKUP($AA8,'Equipment &amp; Troop Q'!$F$3:$I$30,2,FALSE)</f>
        <v>0</v>
      </c>
      <c r="AC8" s="2">
        <f>VLOOKUP($AA8,'Equipment &amp; Troop Q'!$F$3:$I$30,3,FALSE)</f>
        <v>0</v>
      </c>
      <c r="AD8" s="2">
        <f>VLOOKUP($AA8,'Equipment &amp; Troop Q'!$F$3:$I$30,4,FALSE)</f>
        <v>0</v>
      </c>
      <c r="AE8" s="2" t="s">
        <v>101</v>
      </c>
      <c r="AF8" s="2">
        <f>VLOOKUP($AE8,'Equipment &amp; Troop Q'!$F$3:$I$30,2,FALSE)</f>
        <v>0</v>
      </c>
      <c r="AG8" s="2">
        <f>VLOOKUP($AE8,'Equipment &amp; Troop Q'!$F$3:$I$30,3,FALSE)</f>
        <v>0</v>
      </c>
      <c r="AH8" s="2">
        <f>VLOOKUP($AE8,'Equipment &amp; Troop Q'!$F$3:$I$30,4,FALSE)</f>
        <v>0</v>
      </c>
      <c r="AI8" s="2" t="s">
        <v>101</v>
      </c>
      <c r="AJ8" s="2">
        <f>VLOOKUP($AI8,'Equipment &amp; Troop Q'!$F$3:$I$30,2,FALSE)</f>
        <v>0</v>
      </c>
      <c r="AK8" s="2">
        <f>VLOOKUP($AI8,'Equipment &amp; Troop Q'!$F$3:$I$30,3,FALSE)</f>
        <v>0</v>
      </c>
      <c r="AL8" s="2">
        <f>VLOOKUP($AI8,'Equipment &amp; Troop Q'!$F$3:$I$30,4,FALSE)</f>
        <v>0</v>
      </c>
    </row>
    <row r="9" spans="1:38" x14ac:dyDescent="0.2">
      <c r="A9" s="64" t="s">
        <v>428</v>
      </c>
      <c r="B9" s="5" t="s">
        <v>49</v>
      </c>
      <c r="C9" s="43">
        <f>((((VLOOKUP($B9,'TL6-12 Elements'!$A$2:$I$67,2,FALSE))*L9)*M9)*(1+P9+T9+X9+AB9+AF9+AJ9))*N9</f>
        <v>25</v>
      </c>
      <c r="D9" s="43">
        <f>VLOOKUP($B9,'TL6-12 Elements'!$A$2:$I$67,3,FALSE)</f>
        <v>1</v>
      </c>
      <c r="E9" s="43">
        <f t="shared" si="0"/>
        <v>0</v>
      </c>
      <c r="F9" s="43" t="str">
        <f>VLOOKUP($B9,'TL6-12 Elements'!$A$2:$I$67,4,FALSE)</f>
        <v>F</v>
      </c>
      <c r="G9" s="43">
        <f>VLOOKUP($B9,'TL6-12 Elements'!$A$2:$I$67,5,FALSE)</f>
        <v>0.5</v>
      </c>
      <c r="H9" s="43" t="str">
        <f>VLOOKUP($B9,'TL6-12 Elements'!$A$2:$I$67,6,FALSE)</f>
        <v>Foot</v>
      </c>
      <c r="I9" s="45">
        <f>(((VLOOKUP($B9,'TL6-12 Elements'!$A$2:$I$67,7,FALSE))*M9)*(1+Q9+U9+Y9+AC9+AG9+AK9))*N9</f>
        <v>12500</v>
      </c>
      <c r="J9" s="45">
        <f>(((VLOOKUP($B9,'TL6-12 Elements'!$A$2:$I$67,8,FALSE))*M9)*(1+R9+V9+Z9+AD9+AH9+AL9))*N9</f>
        <v>2500</v>
      </c>
      <c r="K9" s="10">
        <v>7</v>
      </c>
      <c r="L9" s="10">
        <f>IF(VLOOKUP($B9,'TL6-12 Elements'!$A$2:$I$67,9,FALSE)-$K9=0,1,IF(VLOOKUP($B9,'TL6-12 Elements'!$A$2:$I$67,9,FALSE)-$K9=-1,2,IF(VLOOKUP($B9,'TL6-12 Elements'!$A$2:$I$67,9,FALSE)-$K9=-2,4,IF(VLOOKUP($B9,'TL6-12 Elements'!$A$2:$I$67,9,FALSE)-$K9=-3,8,IF(VLOOKUP($B9,'TL6-12 Elements'!$A$2:$I$67,9,FALSE)-$K9=-4,16,"Invalid")))))</f>
        <v>2</v>
      </c>
      <c r="M9" s="10">
        <v>1</v>
      </c>
      <c r="N9" s="44">
        <v>1</v>
      </c>
      <c r="O9" s="2" t="s">
        <v>139</v>
      </c>
      <c r="P9" s="2">
        <f>VLOOKUP(O9,'Equipment &amp; Troop Q'!$A$3:$D$7,2,FALSE)</f>
        <v>-0.25</v>
      </c>
      <c r="Q9" s="2">
        <f>VLOOKUP($O9,'Equipment &amp; Troop Q'!$A$3:$D$7,3,FALSE)</f>
        <v>-0.25</v>
      </c>
      <c r="R9" s="2">
        <f>VLOOKUP($O9,'Equipment &amp; Troop Q'!$A$3:$D$7,4,FALSE)</f>
        <v>-0.25</v>
      </c>
      <c r="S9" s="2" t="s">
        <v>142</v>
      </c>
      <c r="T9" s="2">
        <f>VLOOKUP($S9,'Equipment &amp; Troop Q'!$A$13:$D$16,2,FALSE)</f>
        <v>-0.5</v>
      </c>
      <c r="U9" s="2">
        <f>IF(OR(W9="Fanatic",AA9="Fanatic",AE9="Fanatic",AI9="Fanatic"),VLOOKUP($S9,'Equipment &amp; Troop Q'!$A$18:$D$19,3,FALSE),VLOOKUP($S9,'Equipment &amp; Troop Q'!$A$13:$D$16,3,FALSE))</f>
        <v>-0.5</v>
      </c>
      <c r="V9" s="2">
        <f>VLOOKUP($S9,'Equipment &amp; Troop Q'!$A$13:$D$16,4,FALSE)</f>
        <v>-0.5</v>
      </c>
      <c r="W9" s="2" t="s">
        <v>101</v>
      </c>
      <c r="X9" s="2">
        <f>VLOOKUP(W9,'Equipment &amp; Troop Q'!F$3:I$30,2,FALSE)</f>
        <v>0</v>
      </c>
      <c r="Y9" s="2">
        <f>VLOOKUP($W9,'Equipment &amp; Troop Q'!$F$3:$I$30,3,FALSE)</f>
        <v>0</v>
      </c>
      <c r="Z9" s="2">
        <f>VLOOKUP($W9,'Equipment &amp; Troop Q'!$F$3:$I$30,4,FALSE)</f>
        <v>0</v>
      </c>
      <c r="AA9" s="2" t="s">
        <v>101</v>
      </c>
      <c r="AB9" s="2">
        <f>VLOOKUP($AA9,'Equipment &amp; Troop Q'!$F$3:$I$30,2,FALSE)</f>
        <v>0</v>
      </c>
      <c r="AC9" s="2">
        <f>VLOOKUP($AA9,'Equipment &amp; Troop Q'!$F$3:$I$30,3,FALSE)</f>
        <v>0</v>
      </c>
      <c r="AD9" s="2">
        <f>VLOOKUP($AA9,'Equipment &amp; Troop Q'!$F$3:$I$30,4,FALSE)</f>
        <v>0</v>
      </c>
      <c r="AE9" s="2" t="s">
        <v>101</v>
      </c>
      <c r="AF9" s="2">
        <f>VLOOKUP($AE9,'Equipment &amp; Troop Q'!$F$3:$I$30,2,FALSE)</f>
        <v>0</v>
      </c>
      <c r="AG9" s="2">
        <f>VLOOKUP($AE9,'Equipment &amp; Troop Q'!$F$3:$I$30,3,FALSE)</f>
        <v>0</v>
      </c>
      <c r="AH9" s="2">
        <f>VLOOKUP($AE9,'Equipment &amp; Troop Q'!$F$3:$I$30,4,FALSE)</f>
        <v>0</v>
      </c>
      <c r="AI9" s="2" t="s">
        <v>101</v>
      </c>
      <c r="AJ9" s="2">
        <f>VLOOKUP($AI9,'Equipment &amp; Troop Q'!$F$3:$I$30,2,FALSE)</f>
        <v>0</v>
      </c>
      <c r="AK9" s="2">
        <f>VLOOKUP($AI9,'Equipment &amp; Troop Q'!$F$3:$I$30,3,FALSE)</f>
        <v>0</v>
      </c>
      <c r="AL9" s="2">
        <f>VLOOKUP($AI9,'Equipment &amp; Troop Q'!$F$3:$I$30,4,FALSE)</f>
        <v>0</v>
      </c>
    </row>
    <row r="10" spans="1:38" x14ac:dyDescent="0.2">
      <c r="A10" s="64" t="s">
        <v>429</v>
      </c>
      <c r="B10" s="5" t="s">
        <v>49</v>
      </c>
      <c r="C10" s="43">
        <f>((((VLOOKUP($B10,'TL6-12 Elements'!$A$2:$I$67,2,FALSE))*L10)*M10)*(1+P10+T10+X10+AB10+AF10+AJ10))*N10</f>
        <v>0</v>
      </c>
      <c r="D10" s="43">
        <f>VLOOKUP($B10,'TL6-12 Elements'!$A$2:$I$67,3,FALSE)</f>
        <v>1</v>
      </c>
      <c r="E10" s="43">
        <f t="shared" si="0"/>
        <v>0</v>
      </c>
      <c r="F10" s="43" t="str">
        <f>VLOOKUP($B10,'TL6-12 Elements'!$A$2:$I$67,4,FALSE)</f>
        <v>F</v>
      </c>
      <c r="G10" s="43">
        <f>VLOOKUP($B10,'TL6-12 Elements'!$A$2:$I$67,5,FALSE)</f>
        <v>0.5</v>
      </c>
      <c r="H10" s="43" t="str">
        <f>VLOOKUP($B10,'TL6-12 Elements'!$A$2:$I$67,6,FALSE)</f>
        <v>Foot</v>
      </c>
      <c r="I10" s="45">
        <f>(((VLOOKUP($B10,'TL6-12 Elements'!$A$2:$I$67,7,FALSE))*M10)*(1+Q10+U10+Y10+AC10+AG10+AK10))*N10</f>
        <v>0</v>
      </c>
      <c r="J10" s="45">
        <f>(((VLOOKUP($B10,'TL6-12 Elements'!$A$2:$I$67,8,FALSE))*M10)*(1+R10+V10+Z10+AD10+AH10+AL10))*N10</f>
        <v>0</v>
      </c>
      <c r="K10" s="10">
        <v>7</v>
      </c>
      <c r="L10" s="10">
        <f>IF(VLOOKUP($B10,'TL6-12 Elements'!$A$2:$I$67,9,FALSE)-$K10=0,1,IF(VLOOKUP($B10,'TL6-12 Elements'!$A$2:$I$67,9,FALSE)-$K10=-1,2,IF(VLOOKUP($B10,'TL6-12 Elements'!$A$2:$I$67,9,FALSE)-$K10=-2,4,IF(VLOOKUP($B10,'TL6-12 Elements'!$A$2:$I$67,9,FALSE)-$K10=-3,8,IF(VLOOKUP($B10,'TL6-12 Elements'!$A$2:$I$67,9,FALSE)-$K10=-4,16,"Invalid")))))</f>
        <v>2</v>
      </c>
      <c r="M10" s="10">
        <v>0</v>
      </c>
      <c r="N10" s="44">
        <v>1</v>
      </c>
      <c r="O10" s="2" t="s">
        <v>138</v>
      </c>
      <c r="P10" s="2">
        <f>VLOOKUP(O10,'Equipment &amp; Troop Q'!$A$3:$D$7,2,FALSE)</f>
        <v>0</v>
      </c>
      <c r="Q10" s="2">
        <f>VLOOKUP($O10,'Equipment &amp; Troop Q'!$A$3:$D$7,3,FALSE)</f>
        <v>0</v>
      </c>
      <c r="R10" s="2">
        <f>VLOOKUP($O10,'Equipment &amp; Troop Q'!$A$3:$D$7,4,FALSE)</f>
        <v>0</v>
      </c>
      <c r="S10" s="2" t="s">
        <v>141</v>
      </c>
      <c r="T10" s="2">
        <f>VLOOKUP($S10,'Equipment &amp; Troop Q'!$A$13:$D$16,2,FALSE)</f>
        <v>0</v>
      </c>
      <c r="U10" s="2">
        <f>IF(OR(W10="Fanatic",AA10="Fanatic",AE10="Fanatic",AI10="Fanatic"),VLOOKUP($S10,'Equipment &amp; Troop Q'!$A$18:$D$19,3,FALSE),VLOOKUP($S10,'Equipment &amp; Troop Q'!$A$13:$D$16,3,FALSE))</f>
        <v>0</v>
      </c>
      <c r="V10" s="2">
        <f>VLOOKUP($S10,'Equipment &amp; Troop Q'!$A$13:$D$16,4,FALSE)</f>
        <v>0</v>
      </c>
      <c r="W10" s="2" t="s">
        <v>101</v>
      </c>
      <c r="X10" s="2">
        <f>VLOOKUP(W10,'Equipment &amp; Troop Q'!F$3:I$30,2,FALSE)</f>
        <v>0</v>
      </c>
      <c r="Y10" s="2">
        <f>VLOOKUP($W10,'Equipment &amp; Troop Q'!$F$3:$I$30,3,FALSE)</f>
        <v>0</v>
      </c>
      <c r="Z10" s="2">
        <f>VLOOKUP($W10,'Equipment &amp; Troop Q'!$F$3:$I$30,4,FALSE)</f>
        <v>0</v>
      </c>
      <c r="AA10" s="2" t="s">
        <v>101</v>
      </c>
      <c r="AB10" s="2">
        <f>VLOOKUP($AA10,'Equipment &amp; Troop Q'!$F$3:$I$30,2,FALSE)</f>
        <v>0</v>
      </c>
      <c r="AC10" s="2">
        <f>VLOOKUP($AA10,'Equipment &amp; Troop Q'!$F$3:$I$30,3,FALSE)</f>
        <v>0</v>
      </c>
      <c r="AD10" s="2">
        <f>VLOOKUP($AA10,'Equipment &amp; Troop Q'!$F$3:$I$30,4,FALSE)</f>
        <v>0</v>
      </c>
      <c r="AE10" s="2" t="s">
        <v>101</v>
      </c>
      <c r="AF10" s="2">
        <f>VLOOKUP($AE10,'Equipment &amp; Troop Q'!$F$3:$I$30,2,FALSE)</f>
        <v>0</v>
      </c>
      <c r="AG10" s="2">
        <f>VLOOKUP($AE10,'Equipment &amp; Troop Q'!$F$3:$I$30,3,FALSE)</f>
        <v>0</v>
      </c>
      <c r="AH10" s="2">
        <f>VLOOKUP($AE10,'Equipment &amp; Troop Q'!$F$3:$I$30,4,FALSE)</f>
        <v>0</v>
      </c>
      <c r="AI10" s="2" t="s">
        <v>101</v>
      </c>
      <c r="AJ10" s="2">
        <f>VLOOKUP($AI10,'Equipment &amp; Troop Q'!$F$3:$I$30,2,FALSE)</f>
        <v>0</v>
      </c>
      <c r="AK10" s="2">
        <f>VLOOKUP($AI10,'Equipment &amp; Troop Q'!$F$3:$I$30,3,FALSE)</f>
        <v>0</v>
      </c>
      <c r="AL10" s="2">
        <f>VLOOKUP($AI10,'Equipment &amp; Troop Q'!$F$3:$I$30,4,FALSE)</f>
        <v>0</v>
      </c>
    </row>
    <row r="11" spans="1:38" x14ac:dyDescent="0.2">
      <c r="A11" s="64" t="s">
        <v>430</v>
      </c>
      <c r="B11" s="5" t="s">
        <v>49</v>
      </c>
      <c r="C11" s="43">
        <f>((((VLOOKUP($B11,'TL6-12 Elements'!$A$2:$I$67,2,FALSE))*L11)*M11)*(1+P11+T11+X11+AB11+AF11+AJ11))*N11</f>
        <v>0</v>
      </c>
      <c r="D11" s="43">
        <f>VLOOKUP($B11,'TL6-12 Elements'!$A$2:$I$67,3,FALSE)</f>
        <v>1</v>
      </c>
      <c r="E11" s="43">
        <f t="shared" si="0"/>
        <v>0</v>
      </c>
      <c r="F11" s="43" t="str">
        <f>VLOOKUP($B11,'TL6-12 Elements'!$A$2:$I$67,4,FALSE)</f>
        <v>F</v>
      </c>
      <c r="G11" s="43">
        <f>VLOOKUP($B11,'TL6-12 Elements'!$A$2:$I$67,5,FALSE)</f>
        <v>0.5</v>
      </c>
      <c r="H11" s="43" t="str">
        <f>VLOOKUP($B11,'TL6-12 Elements'!$A$2:$I$67,6,FALSE)</f>
        <v>Foot</v>
      </c>
      <c r="I11" s="45">
        <f>(((VLOOKUP($B11,'TL6-12 Elements'!$A$2:$I$67,7,FALSE))*M11)*(1+Q11+U11+Y11+AC11+AG11+AK11))*N11</f>
        <v>0</v>
      </c>
      <c r="J11" s="45">
        <f>(((VLOOKUP($B11,'TL6-12 Elements'!$A$2:$I$67,8,FALSE))*M11)*(1+R11+V11+Z11+AD11+AH11+AL11))*N11</f>
        <v>0</v>
      </c>
      <c r="K11" s="10">
        <v>7</v>
      </c>
      <c r="L11" s="10">
        <f>IF(VLOOKUP($B11,'TL6-12 Elements'!$A$2:$I$67,9,FALSE)-$K11=0,1,IF(VLOOKUP($B11,'TL6-12 Elements'!$A$2:$I$67,9,FALSE)-$K11=-1,2,IF(VLOOKUP($B11,'TL6-12 Elements'!$A$2:$I$67,9,FALSE)-$K11=-2,4,IF(VLOOKUP($B11,'TL6-12 Elements'!$A$2:$I$67,9,FALSE)-$K11=-3,8,IF(VLOOKUP($B11,'TL6-12 Elements'!$A$2:$I$67,9,FALSE)-$K11=-4,16,"Invalid")))))</f>
        <v>2</v>
      </c>
      <c r="M11" s="10">
        <v>0</v>
      </c>
      <c r="N11" s="44">
        <v>1</v>
      </c>
      <c r="O11" s="2" t="s">
        <v>137</v>
      </c>
      <c r="P11" s="2">
        <f>VLOOKUP(O11,'Equipment &amp; Troop Q'!$A$3:$D$7,2,FALSE)</f>
        <v>0.5</v>
      </c>
      <c r="Q11" s="2">
        <f>VLOOKUP($O11,'Equipment &amp; Troop Q'!$A$3:$D$7,3,FALSE)</f>
        <v>0.5</v>
      </c>
      <c r="R11" s="2">
        <f>VLOOKUP($O11,'Equipment &amp; Troop Q'!$A$3:$D$7,4,FALSE)</f>
        <v>0.5</v>
      </c>
      <c r="S11" s="2" t="s">
        <v>137</v>
      </c>
      <c r="T11" s="2">
        <f>VLOOKUP($S11,'Equipment &amp; Troop Q'!$A$13:$D$16,2,FALSE)</f>
        <v>0.5</v>
      </c>
      <c r="U11" s="2">
        <f>IF(OR(W11="Fanatic",AA11="Fanatic",AE11="Fanatic",AI11="Fanatic"),VLOOKUP($S11,'Equipment &amp; Troop Q'!$A$18:$D$19,3,FALSE),VLOOKUP($S11,'Equipment &amp; Troop Q'!$A$13:$D$16,3,FALSE))</f>
        <v>1</v>
      </c>
      <c r="V11" s="2">
        <f>VLOOKUP($S11,'Equipment &amp; Troop Q'!$A$13:$D$16,4,FALSE)</f>
        <v>0.2</v>
      </c>
      <c r="W11" s="2" t="s">
        <v>101</v>
      </c>
      <c r="X11" s="2">
        <f>VLOOKUP(W11,'Equipment &amp; Troop Q'!F$3:I$30,2,FALSE)</f>
        <v>0</v>
      </c>
      <c r="Y11" s="2">
        <f>VLOOKUP($W11,'Equipment &amp; Troop Q'!$F$3:$I$30,3,FALSE)</f>
        <v>0</v>
      </c>
      <c r="Z11" s="2">
        <f>VLOOKUP($W11,'Equipment &amp; Troop Q'!$F$3:$I$30,4,FALSE)</f>
        <v>0</v>
      </c>
      <c r="AA11" s="2" t="s">
        <v>101</v>
      </c>
      <c r="AB11" s="2">
        <f>VLOOKUP($AA11,'Equipment &amp; Troop Q'!$F$3:$I$30,2,FALSE)</f>
        <v>0</v>
      </c>
      <c r="AC11" s="2">
        <f>VLOOKUP($AA11,'Equipment &amp; Troop Q'!$F$3:$I$30,3,FALSE)</f>
        <v>0</v>
      </c>
      <c r="AD11" s="2">
        <f>VLOOKUP($AA11,'Equipment &amp; Troop Q'!$F$3:$I$30,4,FALSE)</f>
        <v>0</v>
      </c>
      <c r="AE11" s="2" t="s">
        <v>101</v>
      </c>
      <c r="AF11" s="2">
        <f>VLOOKUP($AE11,'Equipment &amp; Troop Q'!$F$3:$I$30,2,FALSE)</f>
        <v>0</v>
      </c>
      <c r="AG11" s="2">
        <f>VLOOKUP($AE11,'Equipment &amp; Troop Q'!$F$3:$I$30,3,FALSE)</f>
        <v>0</v>
      </c>
      <c r="AH11" s="2">
        <f>VLOOKUP($AE11,'Equipment &amp; Troop Q'!$F$3:$I$30,4,FALSE)</f>
        <v>0</v>
      </c>
      <c r="AI11" s="2" t="s">
        <v>101</v>
      </c>
      <c r="AJ11" s="2">
        <f>VLOOKUP($AI11,'Equipment &amp; Troop Q'!$F$3:$I$30,2,FALSE)</f>
        <v>0</v>
      </c>
      <c r="AK11" s="2">
        <f>VLOOKUP($AI11,'Equipment &amp; Troop Q'!$F$3:$I$30,3,FALSE)</f>
        <v>0</v>
      </c>
      <c r="AL11" s="2">
        <f>VLOOKUP($AI11,'Equipment &amp; Troop Q'!$F$3:$I$30,4,FALSE)</f>
        <v>0</v>
      </c>
    </row>
    <row r="12" spans="1:38" x14ac:dyDescent="0.2">
      <c r="A12" s="64" t="s">
        <v>431</v>
      </c>
      <c r="B12" s="5" t="s">
        <v>67</v>
      </c>
      <c r="C12" s="43">
        <f>((((VLOOKUP($B12,'TL6-12 Elements'!$A$2:$I$67,2,FALSE))*L12)*M12)*(1+P12+T12+X12+AB12+AF12+AJ12))*N12</f>
        <v>0</v>
      </c>
      <c r="D12" s="43">
        <f>VLOOKUP($B12,'TL6-12 Elements'!$A$2:$I$67,3,FALSE)</f>
        <v>1</v>
      </c>
      <c r="E12" s="43">
        <f t="shared" si="0"/>
        <v>0</v>
      </c>
      <c r="F12" s="43" t="str">
        <f>VLOOKUP($B12,'TL6-12 Elements'!$A$2:$I$67,4,FALSE)</f>
        <v>Art</v>
      </c>
      <c r="G12" s="43">
        <f>VLOOKUP($B12,'TL6-12 Elements'!$A$2:$I$67,5,FALSE)</f>
        <v>1</v>
      </c>
      <c r="H12" s="43" t="str">
        <f>VLOOKUP($B12,'TL6-12 Elements'!$A$2:$I$67,6,FALSE)</f>
        <v>Foot</v>
      </c>
      <c r="I12" s="45">
        <f>(((VLOOKUP($B12,'TL6-12 Elements'!$A$2:$I$67,7,FALSE))*M12)*(1+Q12+U12+Y12+AC12+AG12+AK12))*N12</f>
        <v>0</v>
      </c>
      <c r="J12" s="45">
        <f>(((VLOOKUP($B12,'TL6-12 Elements'!$A$2:$I$67,8,FALSE))*M12)*(1+R12+V12+Z12+AD12+AH12+AL12))*N12</f>
        <v>0</v>
      </c>
      <c r="K12" s="10">
        <v>7</v>
      </c>
      <c r="L12" s="10">
        <f>IF(VLOOKUP($B12,'TL6-12 Elements'!$A$2:$I$67,9,FALSE)-$K12=0,1,IF(VLOOKUP($B12,'TL6-12 Elements'!$A$2:$I$67,9,FALSE)-$K12=-1,2,IF(VLOOKUP($B12,'TL6-12 Elements'!$A$2:$I$67,9,FALSE)-$K12=-2,4,IF(VLOOKUP($B12,'TL6-12 Elements'!$A$2:$I$67,9,FALSE)-$K12=-3,8,IF(VLOOKUP($B12,'TL6-12 Elements'!$A$2:$I$67,9,FALSE)-$K12=-4,16,"Invalid")))))</f>
        <v>2</v>
      </c>
      <c r="M12" s="10">
        <v>0</v>
      </c>
      <c r="N12" s="44">
        <v>1</v>
      </c>
      <c r="O12" s="2" t="s">
        <v>139</v>
      </c>
      <c r="P12" s="2">
        <f>VLOOKUP(O12,'Equipment &amp; Troop Q'!$A$3:$D$7,2,FALSE)</f>
        <v>-0.25</v>
      </c>
      <c r="Q12" s="2">
        <f>VLOOKUP($O12,'Equipment &amp; Troop Q'!$A$3:$D$7,3,FALSE)</f>
        <v>-0.25</v>
      </c>
      <c r="R12" s="2">
        <f>VLOOKUP($O12,'Equipment &amp; Troop Q'!$A$3:$D$7,4,FALSE)</f>
        <v>-0.25</v>
      </c>
      <c r="S12" s="2" t="s">
        <v>142</v>
      </c>
      <c r="T12" s="2">
        <f>VLOOKUP($S12,'Equipment &amp; Troop Q'!$A$13:$D$16,2,FALSE)</f>
        <v>-0.5</v>
      </c>
      <c r="U12" s="2">
        <f>IF(OR(W12="Fanatic",AA12="Fanatic",AE12="Fanatic",AI12="Fanatic"),VLOOKUP($S12,'Equipment &amp; Troop Q'!$A$18:$D$19,3,FALSE),VLOOKUP($S12,'Equipment &amp; Troop Q'!$A$13:$D$16,3,FALSE))</f>
        <v>-0.5</v>
      </c>
      <c r="V12" s="2">
        <f>VLOOKUP($S12,'Equipment &amp; Troop Q'!$A$13:$D$16,4,FALSE)</f>
        <v>-0.5</v>
      </c>
      <c r="W12" s="2" t="s">
        <v>101</v>
      </c>
      <c r="X12" s="2">
        <f>VLOOKUP(W12,'Equipment &amp; Troop Q'!F$3:I$30,2,FALSE)</f>
        <v>0</v>
      </c>
      <c r="Y12" s="2">
        <f>VLOOKUP($W12,'Equipment &amp; Troop Q'!$F$3:$I$30,3,FALSE)</f>
        <v>0</v>
      </c>
      <c r="Z12" s="2">
        <f>VLOOKUP($W12,'Equipment &amp; Troop Q'!$F$3:$I$30,4,FALSE)</f>
        <v>0</v>
      </c>
      <c r="AA12" s="2" t="s">
        <v>101</v>
      </c>
      <c r="AB12" s="2">
        <f>VLOOKUP($AA12,'Equipment &amp; Troop Q'!$F$3:$I$30,2,FALSE)</f>
        <v>0</v>
      </c>
      <c r="AC12" s="2">
        <f>VLOOKUP($AA12,'Equipment &amp; Troop Q'!$F$3:$I$30,3,FALSE)</f>
        <v>0</v>
      </c>
      <c r="AD12" s="2">
        <f>VLOOKUP($AA12,'Equipment &amp; Troop Q'!$F$3:$I$30,4,FALSE)</f>
        <v>0</v>
      </c>
      <c r="AE12" s="2" t="s">
        <v>101</v>
      </c>
      <c r="AF12" s="2">
        <f>VLOOKUP($AE12,'Equipment &amp; Troop Q'!$F$3:$I$30,2,FALSE)</f>
        <v>0</v>
      </c>
      <c r="AG12" s="2">
        <f>VLOOKUP($AE12,'Equipment &amp; Troop Q'!$F$3:$I$30,3,FALSE)</f>
        <v>0</v>
      </c>
      <c r="AH12" s="2">
        <f>VLOOKUP($AE12,'Equipment &amp; Troop Q'!$F$3:$I$30,4,FALSE)</f>
        <v>0</v>
      </c>
      <c r="AI12" s="2" t="s">
        <v>101</v>
      </c>
      <c r="AJ12" s="2">
        <f>VLOOKUP($AI12,'Equipment &amp; Troop Q'!$F$3:$I$30,2,FALSE)</f>
        <v>0</v>
      </c>
      <c r="AK12" s="2">
        <f>VLOOKUP($AI12,'Equipment &amp; Troop Q'!$F$3:$I$30,3,FALSE)</f>
        <v>0</v>
      </c>
      <c r="AL12" s="2">
        <f>VLOOKUP($AI12,'Equipment &amp; Troop Q'!$F$3:$I$30,4,FALSE)</f>
        <v>0</v>
      </c>
    </row>
    <row r="13" spans="1:38" x14ac:dyDescent="0.2">
      <c r="A13" s="64" t="s">
        <v>432</v>
      </c>
      <c r="B13" s="5" t="s">
        <v>67</v>
      </c>
      <c r="C13" s="43">
        <f>((((VLOOKUP($B13,'TL6-12 Elements'!$A$2:$I$67,2,FALSE))*L13)*M13)*(1+P13+T13+X13+AB13+AF13+AJ13))*N13</f>
        <v>0</v>
      </c>
      <c r="D13" s="43">
        <f>VLOOKUP($B13,'TL6-12 Elements'!$A$2:$I$67,3,FALSE)</f>
        <v>1</v>
      </c>
      <c r="E13" s="43">
        <f t="shared" si="0"/>
        <v>0</v>
      </c>
      <c r="F13" s="43" t="str">
        <f>VLOOKUP($B13,'TL6-12 Elements'!$A$2:$I$67,4,FALSE)</f>
        <v>Art</v>
      </c>
      <c r="G13" s="43">
        <f>VLOOKUP($B13,'TL6-12 Elements'!$A$2:$I$67,5,FALSE)</f>
        <v>1</v>
      </c>
      <c r="H13" s="43" t="str">
        <f>VLOOKUP($B13,'TL6-12 Elements'!$A$2:$I$67,6,FALSE)</f>
        <v>Foot</v>
      </c>
      <c r="I13" s="45">
        <f>(((VLOOKUP($B13,'TL6-12 Elements'!$A$2:$I$67,7,FALSE))*M13)*(1+Q13+U13+Y13+AC13+AG13+AK13))*N13</f>
        <v>0</v>
      </c>
      <c r="J13" s="45">
        <f>(((VLOOKUP($B13,'TL6-12 Elements'!$A$2:$I$67,8,FALSE))*M13)*(1+R13+V13+Z13+AD13+AH13+AL13))*N13</f>
        <v>0</v>
      </c>
      <c r="K13" s="10">
        <v>7</v>
      </c>
      <c r="L13" s="10">
        <f>IF(VLOOKUP($B13,'TL6-12 Elements'!$A$2:$I$67,9,FALSE)-$K13=0,1,IF(VLOOKUP($B13,'TL6-12 Elements'!$A$2:$I$67,9,FALSE)-$K13=-1,2,IF(VLOOKUP($B13,'TL6-12 Elements'!$A$2:$I$67,9,FALSE)-$K13=-2,4,IF(VLOOKUP($B13,'TL6-12 Elements'!$A$2:$I$67,9,FALSE)-$K13=-3,8,IF(VLOOKUP($B13,'TL6-12 Elements'!$A$2:$I$67,9,FALSE)-$K13=-4,16,"Invalid")))))</f>
        <v>2</v>
      </c>
      <c r="M13" s="10">
        <v>0</v>
      </c>
      <c r="N13" s="44">
        <v>1</v>
      </c>
      <c r="O13" s="2" t="s">
        <v>138</v>
      </c>
      <c r="P13" s="2">
        <f>VLOOKUP(O13,'Equipment &amp; Troop Q'!$A$3:$D$7,2,FALSE)</f>
        <v>0</v>
      </c>
      <c r="Q13" s="2">
        <f>VLOOKUP($O13,'Equipment &amp; Troop Q'!$A$3:$D$7,3,FALSE)</f>
        <v>0</v>
      </c>
      <c r="R13" s="2">
        <f>VLOOKUP($O13,'Equipment &amp; Troop Q'!$A$3:$D$7,4,FALSE)</f>
        <v>0</v>
      </c>
      <c r="S13" s="2" t="s">
        <v>141</v>
      </c>
      <c r="T13" s="2">
        <f>VLOOKUP($S13,'Equipment &amp; Troop Q'!$A$13:$D$16,2,FALSE)</f>
        <v>0</v>
      </c>
      <c r="U13" s="2">
        <f>IF(OR(W13="Fanatic",AA13="Fanatic",AE13="Fanatic",AI13="Fanatic"),VLOOKUP($S13,'Equipment &amp; Troop Q'!$A$18:$D$19,3,FALSE),VLOOKUP($S13,'Equipment &amp; Troop Q'!$A$13:$D$16,3,FALSE))</f>
        <v>0</v>
      </c>
      <c r="V13" s="2">
        <f>VLOOKUP($S13,'Equipment &amp; Troop Q'!$A$13:$D$16,4,FALSE)</f>
        <v>0</v>
      </c>
      <c r="W13" s="2" t="s">
        <v>101</v>
      </c>
      <c r="X13" s="2">
        <f>VLOOKUP(W13,'Equipment &amp; Troop Q'!F$3:I$30,2,FALSE)</f>
        <v>0</v>
      </c>
      <c r="Y13" s="2">
        <f>VLOOKUP($W13,'Equipment &amp; Troop Q'!$F$3:$I$30,3,FALSE)</f>
        <v>0</v>
      </c>
      <c r="Z13" s="2">
        <f>VLOOKUP($W13,'Equipment &amp; Troop Q'!$F$3:$I$30,4,FALSE)</f>
        <v>0</v>
      </c>
      <c r="AA13" s="2" t="s">
        <v>101</v>
      </c>
      <c r="AB13" s="2">
        <f>VLOOKUP($AA13,'Equipment &amp; Troop Q'!$F$3:$I$30,2,FALSE)</f>
        <v>0</v>
      </c>
      <c r="AC13" s="2">
        <f>VLOOKUP($AA13,'Equipment &amp; Troop Q'!$F$3:$I$30,3,FALSE)</f>
        <v>0</v>
      </c>
      <c r="AD13" s="2">
        <f>VLOOKUP($AA13,'Equipment &amp; Troop Q'!$F$3:$I$30,4,FALSE)</f>
        <v>0</v>
      </c>
      <c r="AE13" s="2" t="s">
        <v>101</v>
      </c>
      <c r="AF13" s="2">
        <f>VLOOKUP($AE13,'Equipment &amp; Troop Q'!$F$3:$I$30,2,FALSE)</f>
        <v>0</v>
      </c>
      <c r="AG13" s="2">
        <f>VLOOKUP($AE13,'Equipment &amp; Troop Q'!$F$3:$I$30,3,FALSE)</f>
        <v>0</v>
      </c>
      <c r="AH13" s="2">
        <f>VLOOKUP($AE13,'Equipment &amp; Troop Q'!$F$3:$I$30,4,FALSE)</f>
        <v>0</v>
      </c>
      <c r="AI13" s="2" t="s">
        <v>101</v>
      </c>
      <c r="AJ13" s="2">
        <f>VLOOKUP($AI13,'Equipment &amp; Troop Q'!$F$3:$I$30,2,FALSE)</f>
        <v>0</v>
      </c>
      <c r="AK13" s="2">
        <f>VLOOKUP($AI13,'Equipment &amp; Troop Q'!$F$3:$I$30,3,FALSE)</f>
        <v>0</v>
      </c>
      <c r="AL13" s="2">
        <f>VLOOKUP($AI13,'Equipment &amp; Troop Q'!$F$3:$I$30,4,FALSE)</f>
        <v>0</v>
      </c>
    </row>
    <row r="14" spans="1:38" x14ac:dyDescent="0.2">
      <c r="A14" s="64" t="s">
        <v>433</v>
      </c>
      <c r="B14" s="5" t="s">
        <v>67</v>
      </c>
      <c r="C14" s="43">
        <f>((((VLOOKUP($B14,'TL6-12 Elements'!$A$2:$I$67,2,FALSE))*L14)*M14)*(1+P14+T14+X14+AB14+AF14+AJ14))*N14</f>
        <v>0</v>
      </c>
      <c r="D14" s="43">
        <f>VLOOKUP($B14,'TL6-12 Elements'!$A$2:$I$67,3,FALSE)</f>
        <v>1</v>
      </c>
      <c r="E14" s="43">
        <f t="shared" si="0"/>
        <v>0</v>
      </c>
      <c r="F14" s="43" t="str">
        <f>VLOOKUP($B14,'TL6-12 Elements'!$A$2:$I$67,4,FALSE)</f>
        <v>Art</v>
      </c>
      <c r="G14" s="43">
        <f>VLOOKUP($B14,'TL6-12 Elements'!$A$2:$I$67,5,FALSE)</f>
        <v>1</v>
      </c>
      <c r="H14" s="43" t="str">
        <f>VLOOKUP($B14,'TL6-12 Elements'!$A$2:$I$67,6,FALSE)</f>
        <v>Foot</v>
      </c>
      <c r="I14" s="45">
        <f>(((VLOOKUP($B14,'TL6-12 Elements'!$A$2:$I$67,7,FALSE))*M14)*(1+Q14+U14+Y14+AC14+AG14+AK14))*N14</f>
        <v>0</v>
      </c>
      <c r="J14" s="45">
        <f>(((VLOOKUP($B14,'TL6-12 Elements'!$A$2:$I$67,8,FALSE))*M14)*(1+R14+V14+Z14+AD14+AH14+AL14))*N14</f>
        <v>0</v>
      </c>
      <c r="K14" s="10">
        <v>7</v>
      </c>
      <c r="L14" s="10">
        <f>IF(VLOOKUP($B14,'TL6-12 Elements'!$A$2:$I$67,9,FALSE)-$K14=0,1,IF(VLOOKUP($B14,'TL6-12 Elements'!$A$2:$I$67,9,FALSE)-$K14=-1,2,IF(VLOOKUP($B14,'TL6-12 Elements'!$A$2:$I$67,9,FALSE)-$K14=-2,4,IF(VLOOKUP($B14,'TL6-12 Elements'!$A$2:$I$67,9,FALSE)-$K14=-3,8,IF(VLOOKUP($B14,'TL6-12 Elements'!$A$2:$I$67,9,FALSE)-$K14=-4,16,"Invalid")))))</f>
        <v>2</v>
      </c>
      <c r="M14" s="10">
        <v>0</v>
      </c>
      <c r="N14" s="44">
        <v>1</v>
      </c>
      <c r="O14" s="2" t="s">
        <v>137</v>
      </c>
      <c r="P14" s="2">
        <f>VLOOKUP(O14,'Equipment &amp; Troop Q'!$A$3:$D$7,2,FALSE)</f>
        <v>0.5</v>
      </c>
      <c r="Q14" s="2">
        <f>VLOOKUP($O14,'Equipment &amp; Troop Q'!$A$3:$D$7,3,FALSE)</f>
        <v>0.5</v>
      </c>
      <c r="R14" s="2">
        <f>VLOOKUP($O14,'Equipment &amp; Troop Q'!$A$3:$D$7,4,FALSE)</f>
        <v>0.5</v>
      </c>
      <c r="S14" s="2" t="s">
        <v>137</v>
      </c>
      <c r="T14" s="2">
        <f>VLOOKUP($S14,'Equipment &amp; Troop Q'!$A$13:$D$16,2,FALSE)</f>
        <v>0.5</v>
      </c>
      <c r="U14" s="2">
        <f>IF(OR(W14="Fanatic",AA14="Fanatic",AE14="Fanatic",AI14="Fanatic"),VLOOKUP($S14,'Equipment &amp; Troop Q'!$A$18:$D$19,3,FALSE),VLOOKUP($S14,'Equipment &amp; Troop Q'!$A$13:$D$16,3,FALSE))</f>
        <v>1</v>
      </c>
      <c r="V14" s="2">
        <f>VLOOKUP($S14,'Equipment &amp; Troop Q'!$A$13:$D$16,4,FALSE)</f>
        <v>0.2</v>
      </c>
      <c r="W14" s="2" t="s">
        <v>101</v>
      </c>
      <c r="X14" s="2">
        <f>VLOOKUP(W14,'Equipment &amp; Troop Q'!F$3:I$30,2,FALSE)</f>
        <v>0</v>
      </c>
      <c r="Y14" s="2">
        <f>VLOOKUP($W14,'Equipment &amp; Troop Q'!$F$3:$I$30,3,FALSE)</f>
        <v>0</v>
      </c>
      <c r="Z14" s="2">
        <f>VLOOKUP($W14,'Equipment &amp; Troop Q'!$F$3:$I$30,4,FALSE)</f>
        <v>0</v>
      </c>
      <c r="AA14" s="2" t="s">
        <v>101</v>
      </c>
      <c r="AB14" s="2">
        <f>VLOOKUP($AA14,'Equipment &amp; Troop Q'!$F$3:$I$30,2,FALSE)</f>
        <v>0</v>
      </c>
      <c r="AC14" s="2">
        <f>VLOOKUP($AA14,'Equipment &amp; Troop Q'!$F$3:$I$30,3,FALSE)</f>
        <v>0</v>
      </c>
      <c r="AD14" s="2">
        <f>VLOOKUP($AA14,'Equipment &amp; Troop Q'!$F$3:$I$30,4,FALSE)</f>
        <v>0</v>
      </c>
      <c r="AE14" s="2" t="s">
        <v>101</v>
      </c>
      <c r="AF14" s="2">
        <f>VLOOKUP($AE14,'Equipment &amp; Troop Q'!$F$3:$I$30,2,FALSE)</f>
        <v>0</v>
      </c>
      <c r="AG14" s="2">
        <f>VLOOKUP($AE14,'Equipment &amp; Troop Q'!$F$3:$I$30,3,FALSE)</f>
        <v>0</v>
      </c>
      <c r="AH14" s="2">
        <f>VLOOKUP($AE14,'Equipment &amp; Troop Q'!$F$3:$I$30,4,FALSE)</f>
        <v>0</v>
      </c>
      <c r="AI14" s="2" t="s">
        <v>101</v>
      </c>
      <c r="AJ14" s="2">
        <f>VLOOKUP($AI14,'Equipment &amp; Troop Q'!$F$3:$I$30,2,FALSE)</f>
        <v>0</v>
      </c>
      <c r="AK14" s="2">
        <f>VLOOKUP($AI14,'Equipment &amp; Troop Q'!$F$3:$I$30,3,FALSE)</f>
        <v>0</v>
      </c>
      <c r="AL14" s="2">
        <f>VLOOKUP($AI14,'Equipment &amp; Troop Q'!$F$3:$I$30,4,FALSE)</f>
        <v>0</v>
      </c>
    </row>
    <row r="15" spans="1:38" x14ac:dyDescent="0.2">
      <c r="B15" s="5" t="s">
        <v>39</v>
      </c>
      <c r="C15" s="43">
        <f>((((VLOOKUP($B15,'TL6-12 Elements'!$A$2:$I$67,2,FALSE))*L15)*M15)*(1+P15+T15+X15+AB15+AF15+AJ15))*N15</f>
        <v>0</v>
      </c>
      <c r="D15" s="43">
        <f>VLOOKUP($B15,'TL6-12 Elements'!$A$2:$I$67,3,FALSE)</f>
        <v>1</v>
      </c>
      <c r="E15" s="43">
        <f t="shared" si="0"/>
        <v>0</v>
      </c>
      <c r="F15" s="43" t="str">
        <f>VLOOKUP($B15,'TL6-12 Elements'!$A$2:$I$67,4,FALSE)</f>
        <v>C3I</v>
      </c>
      <c r="G15" s="43">
        <f>VLOOKUP($B15,'TL6-12 Elements'!$A$2:$I$67,5,FALSE)</f>
        <v>1</v>
      </c>
      <c r="H15" s="43">
        <f>VLOOKUP($B15,'TL6-12 Elements'!$A$2:$I$67,6,FALSE)</f>
        <v>0</v>
      </c>
      <c r="I15" s="45">
        <f>(((VLOOKUP($B15,'TL6-12 Elements'!$A$2:$I$67,7,FALSE))*M15)*(1+Q15+U15+Y15+AC15+AG15+AK15))*N15</f>
        <v>0</v>
      </c>
      <c r="J15" s="45">
        <f>(((VLOOKUP($B15,'TL6-12 Elements'!$A$2:$I$67,8,FALSE))*M15)*(1+R15+V15+Z15+AD15+AH15+AL15))*N15</f>
        <v>0</v>
      </c>
      <c r="K15" s="10">
        <v>8</v>
      </c>
      <c r="L15" s="10">
        <f>IF(VLOOKUP($B15,'TL6-12 Elements'!$A$2:$I$67,9,FALSE)-$K15=0,1,IF(VLOOKUP($B15,'TL6-12 Elements'!$A$2:$I$67,9,FALSE)-$K15=-1,2,IF(VLOOKUP($B15,'TL6-12 Elements'!$A$2:$I$67,9,FALSE)-$K15=-2,4,IF(VLOOKUP($B15,'TL6-12 Elements'!$A$2:$I$67,9,FALSE)-$K15=-3,8,IF(VLOOKUP($B15,'TL6-12 Elements'!$A$2:$I$67,9,FALSE)-$K15=-4,16,"Invalid")))))</f>
        <v>4</v>
      </c>
      <c r="M15" s="10">
        <v>0</v>
      </c>
      <c r="N15" s="44">
        <v>1</v>
      </c>
      <c r="O15" s="2" t="s">
        <v>135</v>
      </c>
      <c r="P15" s="2">
        <f>VLOOKUP(O15,'Equipment &amp; Troop Q'!$A$3:$D$7,2,FALSE)</f>
        <v>1.5</v>
      </c>
      <c r="Q15" s="2">
        <f>VLOOKUP($O15,'Equipment &amp; Troop Q'!$A$3:$D$7,3,FALSE)</f>
        <v>2</v>
      </c>
      <c r="R15" s="2">
        <f>VLOOKUP($O15,'Equipment &amp; Troop Q'!$A$3:$D$7,4,FALSE)</f>
        <v>1.5</v>
      </c>
      <c r="S15" s="2" t="s">
        <v>140</v>
      </c>
      <c r="T15" s="2">
        <f>VLOOKUP($S15,'Equipment &amp; Troop Q'!$A$13:$D$16,2,FALSE)</f>
        <v>1</v>
      </c>
      <c r="U15" s="2">
        <f>IF(OR(W15="Fanatic",AA15="Fanatic",AE15="Fanatic",AI15="Fanatic"),VLOOKUP($S15,'Equipment &amp; Troop Q'!$A$18:$D$19,3,FALSE),VLOOKUP($S15,'Equipment &amp; Troop Q'!$A$13:$D$16,3,FALSE))</f>
        <v>2</v>
      </c>
      <c r="V15" s="2">
        <f>VLOOKUP($S15,'Equipment &amp; Troop Q'!$A$13:$D$16,4,FALSE)</f>
        <v>0.4</v>
      </c>
      <c r="W15" s="2" t="s">
        <v>101</v>
      </c>
      <c r="X15" s="2">
        <f>VLOOKUP(W15,'Equipment &amp; Troop Q'!F$3:I$30,2,FALSE)</f>
        <v>0</v>
      </c>
      <c r="Y15" s="2">
        <f>VLOOKUP($W15,'Equipment &amp; Troop Q'!$F$3:$I$30,3,FALSE)</f>
        <v>0</v>
      </c>
      <c r="Z15" s="2">
        <f>VLOOKUP($W15,'Equipment &amp; Troop Q'!$F$3:$I$30,4,FALSE)</f>
        <v>0</v>
      </c>
      <c r="AA15" s="2" t="s">
        <v>101</v>
      </c>
      <c r="AB15" s="2">
        <f>VLOOKUP($AA15,'Equipment &amp; Troop Q'!$F$3:$I$30,2,FALSE)</f>
        <v>0</v>
      </c>
      <c r="AC15" s="2">
        <f>VLOOKUP($AA15,'Equipment &amp; Troop Q'!$F$3:$I$30,3,FALSE)</f>
        <v>0</v>
      </c>
      <c r="AD15" s="2">
        <f>VLOOKUP($AA15,'Equipment &amp; Troop Q'!$F$3:$I$30,4,FALSE)</f>
        <v>0</v>
      </c>
      <c r="AE15" s="2" t="s">
        <v>101</v>
      </c>
      <c r="AF15" s="2">
        <f>VLOOKUP($AE15,'Equipment &amp; Troop Q'!$F$3:$I$30,2,FALSE)</f>
        <v>0</v>
      </c>
      <c r="AG15" s="2">
        <f>VLOOKUP($AE15,'Equipment &amp; Troop Q'!$F$3:$I$30,3,FALSE)</f>
        <v>0</v>
      </c>
      <c r="AH15" s="2">
        <f>VLOOKUP($AE15,'Equipment &amp; Troop Q'!$F$3:$I$30,4,FALSE)</f>
        <v>0</v>
      </c>
      <c r="AI15" s="2" t="s">
        <v>101</v>
      </c>
      <c r="AJ15" s="2">
        <f>VLOOKUP($AI15,'Equipment &amp; Troop Q'!$F$3:$I$30,2,FALSE)</f>
        <v>0</v>
      </c>
      <c r="AK15" s="2">
        <f>VLOOKUP($AI15,'Equipment &amp; Troop Q'!$F$3:$I$30,3,FALSE)</f>
        <v>0</v>
      </c>
      <c r="AL15" s="2">
        <f>VLOOKUP($AI15,'Equipment &amp; Troop Q'!$F$3:$I$30,4,FALSE)</f>
        <v>0</v>
      </c>
    </row>
    <row r="16" spans="1:38" x14ac:dyDescent="0.2">
      <c r="B16" s="5" t="s">
        <v>101</v>
      </c>
      <c r="C16" s="43">
        <f>((((VLOOKUP($B16,'TL6-12 Elements'!$A$2:$I$67,2,FALSE))*L16)*M16)*(1+P16+T16+X16+AB16+AF16+AJ16))*N16</f>
        <v>0</v>
      </c>
      <c r="D16" s="43" t="str">
        <f>VLOOKUP($B16,'TL6-12 Elements'!$A$2:$I$67,3,FALSE)</f>
        <v>-</v>
      </c>
      <c r="E16" s="43">
        <f t="shared" si="0"/>
        <v>0</v>
      </c>
      <c r="F16" s="43" t="str">
        <f>VLOOKUP($B16,'TL6-12 Elements'!$A$2:$I$67,4,FALSE)</f>
        <v>-</v>
      </c>
      <c r="G16" s="43" t="str">
        <f>VLOOKUP($B16,'TL6-12 Elements'!$A$2:$I$67,5,FALSE)</f>
        <v>-</v>
      </c>
      <c r="H16" s="43" t="str">
        <f>VLOOKUP($B16,'TL6-12 Elements'!$A$2:$I$67,6,FALSE)</f>
        <v>-</v>
      </c>
      <c r="I16" s="45">
        <f>(((VLOOKUP($B16,'TL6-12 Elements'!$A$2:$I$67,7,FALSE))*M16)*(1+Q16+U16+Y16+AC16+AG16+AK16))*N16</f>
        <v>0</v>
      </c>
      <c r="J16" s="45">
        <f>(((VLOOKUP($B16,'TL6-12 Elements'!$A$2:$I$67,8,FALSE))*M16)*(1+R16+V16+Z16+AD16+AH16+AL16))*N16</f>
        <v>0</v>
      </c>
      <c r="K16" s="10">
        <v>7</v>
      </c>
      <c r="L16" s="10">
        <f>IF(VLOOKUP($B16,'TL6-12 Elements'!$A$2:$I$67,9,FALSE)-$K16=0,1,IF(VLOOKUP($B16,'TL6-12 Elements'!$A$2:$I$67,9,FALSE)-$K16=-1,2,IF(VLOOKUP($B16,'TL6-12 Elements'!$A$2:$I$67,9,FALSE)-$K16=-2,4,IF(VLOOKUP($B16,'TL6-12 Elements'!$A$2:$I$67,9,FALSE)-$K16=-3,8,IF(VLOOKUP($B16,'TL6-12 Elements'!$A$2:$I$67,9,FALSE)-$K16=-4,16,"Invalid")))))</f>
        <v>2</v>
      </c>
      <c r="M16" s="10">
        <v>1</v>
      </c>
      <c r="N16" s="44">
        <v>1</v>
      </c>
      <c r="O16" s="2" t="s">
        <v>138</v>
      </c>
      <c r="P16" s="2">
        <f>VLOOKUP(O16,'Equipment &amp; Troop Q'!$A$3:$D$7,2,FALSE)</f>
        <v>0</v>
      </c>
      <c r="Q16" s="2">
        <f>VLOOKUP($O16,'Equipment &amp; Troop Q'!$A$3:$D$7,3,FALSE)</f>
        <v>0</v>
      </c>
      <c r="R16" s="2">
        <f>VLOOKUP($O16,'Equipment &amp; Troop Q'!$A$3:$D$7,4,FALSE)</f>
        <v>0</v>
      </c>
      <c r="S16" s="2" t="s">
        <v>141</v>
      </c>
      <c r="T16" s="2">
        <f>VLOOKUP($S16,'Equipment &amp; Troop Q'!$A$13:$D$16,2,FALSE)</f>
        <v>0</v>
      </c>
      <c r="U16" s="2">
        <f>IF(OR(W16="Fanatic",AA16="Fanatic",AE16="Fanatic",AI16="Fanatic"),VLOOKUP($S16,'Equipment &amp; Troop Q'!$A$18:$D$19,3,FALSE),VLOOKUP($S16,'Equipment &amp; Troop Q'!$A$13:$D$16,3,FALSE))</f>
        <v>0</v>
      </c>
      <c r="V16" s="2">
        <f>VLOOKUP($S16,'Equipment &amp; Troop Q'!$A$13:$D$16,4,FALSE)</f>
        <v>0</v>
      </c>
      <c r="W16" s="2" t="s">
        <v>101</v>
      </c>
      <c r="X16" s="2">
        <f>VLOOKUP(W16,'Equipment &amp; Troop Q'!F$3:I$30,2,FALSE)</f>
        <v>0</v>
      </c>
      <c r="Y16" s="2">
        <f>VLOOKUP($W16,'Equipment &amp; Troop Q'!$F$3:$I$30,3,FALSE)</f>
        <v>0</v>
      </c>
      <c r="Z16" s="2">
        <f>VLOOKUP($W16,'Equipment &amp; Troop Q'!$F$3:$I$30,4,FALSE)</f>
        <v>0</v>
      </c>
      <c r="AA16" s="2" t="s">
        <v>101</v>
      </c>
      <c r="AB16" s="2">
        <f>VLOOKUP($AA16,'Equipment &amp; Troop Q'!$F$3:$I$30,2,FALSE)</f>
        <v>0</v>
      </c>
      <c r="AC16" s="2">
        <f>VLOOKUP($AA16,'Equipment &amp; Troop Q'!$F$3:$I$30,3,FALSE)</f>
        <v>0</v>
      </c>
      <c r="AD16" s="2">
        <f>VLOOKUP($AA16,'Equipment &amp; Troop Q'!$F$3:$I$30,4,FALSE)</f>
        <v>0</v>
      </c>
      <c r="AE16" s="2" t="s">
        <v>101</v>
      </c>
      <c r="AF16" s="2">
        <f>VLOOKUP($AE16,'Equipment &amp; Troop Q'!$F$3:$I$30,2,FALSE)</f>
        <v>0</v>
      </c>
      <c r="AG16" s="2">
        <f>VLOOKUP($AE16,'Equipment &amp; Troop Q'!$F$3:$I$30,3,FALSE)</f>
        <v>0</v>
      </c>
      <c r="AH16" s="2">
        <f>VLOOKUP($AE16,'Equipment &amp; Troop Q'!$F$3:$I$30,4,FALSE)</f>
        <v>0</v>
      </c>
      <c r="AI16" s="2" t="s">
        <v>101</v>
      </c>
      <c r="AJ16" s="2">
        <f>VLOOKUP($AI16,'Equipment &amp; Troop Q'!$F$3:$I$30,2,FALSE)</f>
        <v>0</v>
      </c>
      <c r="AK16" s="2">
        <f>VLOOKUP($AI16,'Equipment &amp; Troop Q'!$F$3:$I$30,3,FALSE)</f>
        <v>0</v>
      </c>
      <c r="AL16" s="2">
        <f>VLOOKUP($AI16,'Equipment &amp; Troop Q'!$F$3:$I$30,4,FALSE)</f>
        <v>0</v>
      </c>
    </row>
    <row r="17" spans="2:38" x14ac:dyDescent="0.2">
      <c r="B17" s="5" t="s">
        <v>101</v>
      </c>
      <c r="C17" s="43">
        <f>((((VLOOKUP($B17,'TL6-12 Elements'!$A$2:$I$67,2,FALSE))*L17)*M17)*(1+P17+T17+X17+AB17+AF17+AJ17))*N17</f>
        <v>0</v>
      </c>
      <c r="D17" s="43" t="str">
        <f>VLOOKUP($B17,'TL6-12 Elements'!$A$2:$I$67,3,FALSE)</f>
        <v>-</v>
      </c>
      <c r="E17" s="43">
        <f t="shared" si="0"/>
        <v>0</v>
      </c>
      <c r="F17" s="43" t="str">
        <f>VLOOKUP($B17,'TL6-12 Elements'!$A$2:$I$67,4,FALSE)</f>
        <v>-</v>
      </c>
      <c r="G17" s="43" t="str">
        <f>VLOOKUP($B17,'TL6-12 Elements'!$A$2:$I$67,5,FALSE)</f>
        <v>-</v>
      </c>
      <c r="H17" s="43" t="str">
        <f>VLOOKUP($B17,'TL6-12 Elements'!$A$2:$I$67,6,FALSE)</f>
        <v>-</v>
      </c>
      <c r="I17" s="45">
        <f>(((VLOOKUP($B17,'TL6-12 Elements'!$A$2:$I$67,7,FALSE))*M17)*(1+Q17+U17+Y17+AC17+AG17+AK17))*N17</f>
        <v>0</v>
      </c>
      <c r="J17" s="45">
        <f>(((VLOOKUP($B17,'TL6-12 Elements'!$A$2:$I$67,8,FALSE))*M17)*(1+R17+V17+Z17+AD17+AH17+AL17))*N17</f>
        <v>0</v>
      </c>
      <c r="K17" s="10">
        <v>7</v>
      </c>
      <c r="L17" s="10">
        <f>IF(VLOOKUP($B17,'TL6-12 Elements'!$A$2:$I$67,9,FALSE)-$K17=0,1,IF(VLOOKUP($B17,'TL6-12 Elements'!$A$2:$I$67,9,FALSE)-$K17=-1,2,IF(VLOOKUP($B17,'TL6-12 Elements'!$A$2:$I$67,9,FALSE)-$K17=-2,4,IF(VLOOKUP($B17,'TL6-12 Elements'!$A$2:$I$67,9,FALSE)-$K17=-3,8,IF(VLOOKUP($B17,'TL6-12 Elements'!$A$2:$I$67,9,FALSE)-$K17=-4,16,"Invalid")))))</f>
        <v>2</v>
      </c>
      <c r="M17" s="10">
        <v>1</v>
      </c>
      <c r="N17" s="44">
        <v>1</v>
      </c>
      <c r="O17" s="2" t="s">
        <v>138</v>
      </c>
      <c r="P17" s="2">
        <f>VLOOKUP(O17,'Equipment &amp; Troop Q'!$A$3:$D$7,2,FALSE)</f>
        <v>0</v>
      </c>
      <c r="Q17" s="2">
        <f>VLOOKUP($O17,'Equipment &amp; Troop Q'!$A$3:$D$7,3,FALSE)</f>
        <v>0</v>
      </c>
      <c r="R17" s="2">
        <f>VLOOKUP($O17,'Equipment &amp; Troop Q'!$A$3:$D$7,4,FALSE)</f>
        <v>0</v>
      </c>
      <c r="S17" s="2" t="s">
        <v>141</v>
      </c>
      <c r="T17" s="2">
        <f>VLOOKUP($S17,'Equipment &amp; Troop Q'!$A$13:$D$16,2,FALSE)</f>
        <v>0</v>
      </c>
      <c r="U17" s="2">
        <f>IF(OR(W17="Fanatic",AA17="Fanatic",AE17="Fanatic",AI17="Fanatic"),VLOOKUP($S17,'Equipment &amp; Troop Q'!$A$18:$D$19,3,FALSE),VLOOKUP($S17,'Equipment &amp; Troop Q'!$A$13:$D$16,3,FALSE))</f>
        <v>0</v>
      </c>
      <c r="V17" s="2">
        <f>VLOOKUP($S17,'Equipment &amp; Troop Q'!$A$13:$D$16,4,FALSE)</f>
        <v>0</v>
      </c>
      <c r="W17" s="2" t="s">
        <v>101</v>
      </c>
      <c r="X17" s="2">
        <f>VLOOKUP(W17,'Equipment &amp; Troop Q'!F$3:I$30,2,FALSE)</f>
        <v>0</v>
      </c>
      <c r="Y17" s="2">
        <f>VLOOKUP($W17,'Equipment &amp; Troop Q'!$F$3:$I$30,3,FALSE)</f>
        <v>0</v>
      </c>
      <c r="Z17" s="2">
        <f>VLOOKUP($W17,'Equipment &amp; Troop Q'!$F$3:$I$30,4,FALSE)</f>
        <v>0</v>
      </c>
      <c r="AA17" s="2" t="s">
        <v>101</v>
      </c>
      <c r="AB17" s="2">
        <f>VLOOKUP($AA17,'Equipment &amp; Troop Q'!$F$3:$I$30,2,FALSE)</f>
        <v>0</v>
      </c>
      <c r="AC17" s="2">
        <f>VLOOKUP($AA17,'Equipment &amp; Troop Q'!$F$3:$I$30,3,FALSE)</f>
        <v>0</v>
      </c>
      <c r="AD17" s="2">
        <f>VLOOKUP($AA17,'Equipment &amp; Troop Q'!$F$3:$I$30,4,FALSE)</f>
        <v>0</v>
      </c>
      <c r="AE17" s="2" t="s">
        <v>101</v>
      </c>
      <c r="AF17" s="2">
        <f>VLOOKUP($AE17,'Equipment &amp; Troop Q'!$F$3:$I$30,2,FALSE)</f>
        <v>0</v>
      </c>
      <c r="AG17" s="2">
        <f>VLOOKUP($AE17,'Equipment &amp; Troop Q'!$F$3:$I$30,3,FALSE)</f>
        <v>0</v>
      </c>
      <c r="AH17" s="2">
        <f>VLOOKUP($AE17,'Equipment &amp; Troop Q'!$F$3:$I$30,4,FALSE)</f>
        <v>0</v>
      </c>
      <c r="AI17" s="2" t="s">
        <v>101</v>
      </c>
      <c r="AJ17" s="2">
        <f>VLOOKUP($AI17,'Equipment &amp; Troop Q'!$F$3:$I$30,2,FALSE)</f>
        <v>0</v>
      </c>
      <c r="AK17" s="2">
        <f>VLOOKUP($AI17,'Equipment &amp; Troop Q'!$F$3:$I$30,3,FALSE)</f>
        <v>0</v>
      </c>
      <c r="AL17" s="2">
        <f>VLOOKUP($AI17,'Equipment &amp; Troop Q'!$F$3:$I$30,4,FALSE)</f>
        <v>0</v>
      </c>
    </row>
    <row r="18" spans="2:38" x14ac:dyDescent="0.2">
      <c r="B18" s="5" t="s">
        <v>101</v>
      </c>
      <c r="C18" s="43">
        <f>((((VLOOKUP($B18,'TL6-12 Elements'!$A$2:$I$67,2,FALSE))*L18)*M18)*(1+P18+T18+X18+AB18+AF18+AJ18))*N18</f>
        <v>0</v>
      </c>
      <c r="D18" s="43" t="str">
        <f>VLOOKUP($B18,'TL6-12 Elements'!$A$2:$I$67,3,FALSE)</f>
        <v>-</v>
      </c>
      <c r="E18" s="43">
        <f t="shared" si="0"/>
        <v>0</v>
      </c>
      <c r="F18" s="43" t="str">
        <f>VLOOKUP($B18,'TL6-12 Elements'!$A$2:$I$67,4,FALSE)</f>
        <v>-</v>
      </c>
      <c r="G18" s="43" t="str">
        <f>VLOOKUP($B18,'TL6-12 Elements'!$A$2:$I$67,5,FALSE)</f>
        <v>-</v>
      </c>
      <c r="H18" s="43" t="str">
        <f>VLOOKUP($B18,'TL6-12 Elements'!$A$2:$I$67,6,FALSE)</f>
        <v>-</v>
      </c>
      <c r="I18" s="45">
        <f>(((VLOOKUP($B18,'TL6-12 Elements'!$A$2:$I$67,7,FALSE))*M18)*(1+Q18+U18+Y18+AC18+AG18+AK18))*N18</f>
        <v>0</v>
      </c>
      <c r="J18" s="45">
        <f>(((VLOOKUP($B18,'TL6-12 Elements'!$A$2:$I$67,8,FALSE))*M18)*(1+R18+V18+Z18+AD18+AH18+AL18))*N18</f>
        <v>0</v>
      </c>
      <c r="K18" s="10">
        <v>7</v>
      </c>
      <c r="L18" s="10">
        <f>IF(VLOOKUP($B18,'TL6-12 Elements'!$A$2:$I$67,9,FALSE)-$K18=0,1,IF(VLOOKUP($B18,'TL6-12 Elements'!$A$2:$I$67,9,FALSE)-$K18=-1,2,IF(VLOOKUP($B18,'TL6-12 Elements'!$A$2:$I$67,9,FALSE)-$K18=-2,4,IF(VLOOKUP($B18,'TL6-12 Elements'!$A$2:$I$67,9,FALSE)-$K18=-3,8,IF(VLOOKUP($B18,'TL6-12 Elements'!$A$2:$I$67,9,FALSE)-$K18=-4,16,"Invalid")))))</f>
        <v>2</v>
      </c>
      <c r="M18" s="10">
        <v>1</v>
      </c>
      <c r="N18" s="44">
        <v>1</v>
      </c>
      <c r="O18" s="2" t="s">
        <v>138</v>
      </c>
      <c r="P18" s="2">
        <f>VLOOKUP(O18,'Equipment &amp; Troop Q'!$A$3:$D$7,2,FALSE)</f>
        <v>0</v>
      </c>
      <c r="Q18" s="2">
        <f>VLOOKUP($O18,'Equipment &amp; Troop Q'!$A$3:$D$7,3,FALSE)</f>
        <v>0</v>
      </c>
      <c r="R18" s="2">
        <f>VLOOKUP($O18,'Equipment &amp; Troop Q'!$A$3:$D$7,4,FALSE)</f>
        <v>0</v>
      </c>
      <c r="S18" s="2" t="s">
        <v>141</v>
      </c>
      <c r="T18" s="2">
        <f>VLOOKUP($S18,'Equipment &amp; Troop Q'!$A$13:$D$16,2,FALSE)</f>
        <v>0</v>
      </c>
      <c r="U18" s="2">
        <f>IF(OR(W18="Fanatic",AA18="Fanatic",AE18="Fanatic",AI18="Fanatic"),VLOOKUP($S18,'Equipment &amp; Troop Q'!$A$18:$D$19,3,FALSE),VLOOKUP($S18,'Equipment &amp; Troop Q'!$A$13:$D$16,3,FALSE))</f>
        <v>0</v>
      </c>
      <c r="V18" s="2">
        <f>VLOOKUP($S18,'Equipment &amp; Troop Q'!$A$13:$D$16,4,FALSE)</f>
        <v>0</v>
      </c>
      <c r="W18" s="2" t="s">
        <v>101</v>
      </c>
      <c r="X18" s="2">
        <f>VLOOKUP(W18,'Equipment &amp; Troop Q'!F$3:I$30,2,FALSE)</f>
        <v>0</v>
      </c>
      <c r="Y18" s="2">
        <f>VLOOKUP($W18,'Equipment &amp; Troop Q'!$F$3:$I$30,3,FALSE)</f>
        <v>0</v>
      </c>
      <c r="Z18" s="2">
        <f>VLOOKUP($W18,'Equipment &amp; Troop Q'!$F$3:$I$30,4,FALSE)</f>
        <v>0</v>
      </c>
      <c r="AA18" s="2" t="s">
        <v>101</v>
      </c>
      <c r="AB18" s="2">
        <f>VLOOKUP($AA18,'Equipment &amp; Troop Q'!$F$3:$I$30,2,FALSE)</f>
        <v>0</v>
      </c>
      <c r="AC18" s="2">
        <f>VLOOKUP($AA18,'Equipment &amp; Troop Q'!$F$3:$I$30,3,FALSE)</f>
        <v>0</v>
      </c>
      <c r="AD18" s="2">
        <f>VLOOKUP($AA18,'Equipment &amp; Troop Q'!$F$3:$I$30,4,FALSE)</f>
        <v>0</v>
      </c>
      <c r="AE18" s="2" t="s">
        <v>101</v>
      </c>
      <c r="AF18" s="2">
        <f>VLOOKUP($AE18,'Equipment &amp; Troop Q'!$F$3:$I$30,2,FALSE)</f>
        <v>0</v>
      </c>
      <c r="AG18" s="2">
        <f>VLOOKUP($AE18,'Equipment &amp; Troop Q'!$F$3:$I$30,3,FALSE)</f>
        <v>0</v>
      </c>
      <c r="AH18" s="2">
        <f>VLOOKUP($AE18,'Equipment &amp; Troop Q'!$F$3:$I$30,4,FALSE)</f>
        <v>0</v>
      </c>
      <c r="AI18" s="2" t="s">
        <v>101</v>
      </c>
      <c r="AJ18" s="2">
        <f>VLOOKUP($AI18,'Equipment &amp; Troop Q'!$F$3:$I$30,2,FALSE)</f>
        <v>0</v>
      </c>
      <c r="AK18" s="2">
        <f>VLOOKUP($AI18,'Equipment &amp; Troop Q'!$F$3:$I$30,3,FALSE)</f>
        <v>0</v>
      </c>
      <c r="AL18" s="2">
        <f>VLOOKUP($AI18,'Equipment &amp; Troop Q'!$F$3:$I$30,4,FALSE)</f>
        <v>0</v>
      </c>
    </row>
    <row r="19" spans="2:38" x14ac:dyDescent="0.2">
      <c r="B19" s="5" t="s">
        <v>101</v>
      </c>
      <c r="C19" s="43">
        <f>((((VLOOKUP($B19,'TL6-12 Elements'!$A$2:$I$67,2,FALSE))*L19)*M19)*(1+P19+T19+X19+AB19+AF19+AJ19))*N19</f>
        <v>0</v>
      </c>
      <c r="D19" s="43" t="str">
        <f>VLOOKUP($B19,'TL6-12 Elements'!$A$2:$I$67,3,FALSE)</f>
        <v>-</v>
      </c>
      <c r="E19" s="43">
        <f t="shared" si="0"/>
        <v>0</v>
      </c>
      <c r="F19" s="43" t="str">
        <f>VLOOKUP($B19,'TL6-12 Elements'!$A$2:$I$67,4,FALSE)</f>
        <v>-</v>
      </c>
      <c r="G19" s="43" t="str">
        <f>VLOOKUP($B19,'TL6-12 Elements'!$A$2:$I$67,5,FALSE)</f>
        <v>-</v>
      </c>
      <c r="H19" s="43" t="str">
        <f>VLOOKUP($B19,'TL6-12 Elements'!$A$2:$I$67,6,FALSE)</f>
        <v>-</v>
      </c>
      <c r="I19" s="45">
        <f>(((VLOOKUP($B19,'TL6-12 Elements'!$A$2:$I$67,7,FALSE))*M19)*(1+Q19+U19+Y19+AC19+AG19+AK19))*N19</f>
        <v>0</v>
      </c>
      <c r="J19" s="45">
        <f>(((VLOOKUP($B19,'TL6-12 Elements'!$A$2:$I$67,8,FALSE))*M19)*(1+R19+V19+Z19+AD19+AH19+AL19))*N19</f>
        <v>0</v>
      </c>
      <c r="K19" s="10">
        <v>7</v>
      </c>
      <c r="L19" s="10">
        <f>IF(VLOOKUP($B19,'TL6-12 Elements'!$A$2:$I$67,9,FALSE)-$K19=0,1,IF(VLOOKUP($B19,'TL6-12 Elements'!$A$2:$I$67,9,FALSE)-$K19=-1,2,IF(VLOOKUP($B19,'TL6-12 Elements'!$A$2:$I$67,9,FALSE)-$K19=-2,4,IF(VLOOKUP($B19,'TL6-12 Elements'!$A$2:$I$67,9,FALSE)-$K19=-3,8,IF(VLOOKUP($B19,'TL6-12 Elements'!$A$2:$I$67,9,FALSE)-$K19=-4,16,"Invalid")))))</f>
        <v>2</v>
      </c>
      <c r="M19" s="10">
        <v>1</v>
      </c>
      <c r="N19" s="44">
        <v>1</v>
      </c>
      <c r="O19" s="2" t="s">
        <v>138</v>
      </c>
      <c r="P19" s="2">
        <f>VLOOKUP(O19,'Equipment &amp; Troop Q'!$A$3:$D$7,2,FALSE)</f>
        <v>0</v>
      </c>
      <c r="Q19" s="2">
        <f>VLOOKUP($O19,'Equipment &amp; Troop Q'!$A$3:$D$7,3,FALSE)</f>
        <v>0</v>
      </c>
      <c r="R19" s="2">
        <f>VLOOKUP($O19,'Equipment &amp; Troop Q'!$A$3:$D$7,4,FALSE)</f>
        <v>0</v>
      </c>
      <c r="S19" s="2" t="s">
        <v>141</v>
      </c>
      <c r="T19" s="2">
        <f>VLOOKUP($S19,'Equipment &amp; Troop Q'!$A$13:$D$16,2,FALSE)</f>
        <v>0</v>
      </c>
      <c r="U19" s="2">
        <f>IF(OR(W19="Fanatic",AA19="Fanatic",AE19="Fanatic",AI19="Fanatic"),VLOOKUP($S19,'Equipment &amp; Troop Q'!$A$18:$D$19,3,FALSE),VLOOKUP($S19,'Equipment &amp; Troop Q'!$A$13:$D$16,3,FALSE))</f>
        <v>0</v>
      </c>
      <c r="V19" s="2">
        <f>VLOOKUP($S19,'Equipment &amp; Troop Q'!$A$13:$D$16,4,FALSE)</f>
        <v>0</v>
      </c>
      <c r="W19" s="2" t="s">
        <v>101</v>
      </c>
      <c r="X19" s="2">
        <f>VLOOKUP(W19,'Equipment &amp; Troop Q'!F$3:I$30,2,FALSE)</f>
        <v>0</v>
      </c>
      <c r="Y19" s="2">
        <f>VLOOKUP($W19,'Equipment &amp; Troop Q'!$F$3:$I$30,3,FALSE)</f>
        <v>0</v>
      </c>
      <c r="Z19" s="2">
        <f>VLOOKUP($W19,'Equipment &amp; Troop Q'!$F$3:$I$30,4,FALSE)</f>
        <v>0</v>
      </c>
      <c r="AA19" s="2" t="s">
        <v>101</v>
      </c>
      <c r="AB19" s="2">
        <f>VLOOKUP($AA19,'Equipment &amp; Troop Q'!$F$3:$I$30,2,FALSE)</f>
        <v>0</v>
      </c>
      <c r="AC19" s="2">
        <f>VLOOKUP($AA19,'Equipment &amp; Troop Q'!$F$3:$I$30,3,FALSE)</f>
        <v>0</v>
      </c>
      <c r="AD19" s="2">
        <f>VLOOKUP($AA19,'Equipment &amp; Troop Q'!$F$3:$I$30,4,FALSE)</f>
        <v>0</v>
      </c>
      <c r="AE19" s="2" t="s">
        <v>101</v>
      </c>
      <c r="AF19" s="2">
        <f>VLOOKUP($AE19,'Equipment &amp; Troop Q'!$F$3:$I$30,2,FALSE)</f>
        <v>0</v>
      </c>
      <c r="AG19" s="2">
        <f>VLOOKUP($AE19,'Equipment &amp; Troop Q'!$F$3:$I$30,3,FALSE)</f>
        <v>0</v>
      </c>
      <c r="AH19" s="2">
        <f>VLOOKUP($AE19,'Equipment &amp; Troop Q'!$F$3:$I$30,4,FALSE)</f>
        <v>0</v>
      </c>
      <c r="AI19" s="2" t="s">
        <v>101</v>
      </c>
      <c r="AJ19" s="2">
        <f>VLOOKUP($AI19,'Equipment &amp; Troop Q'!$F$3:$I$30,2,FALSE)</f>
        <v>0</v>
      </c>
      <c r="AK19" s="2">
        <f>VLOOKUP($AI19,'Equipment &amp; Troop Q'!$F$3:$I$30,3,FALSE)</f>
        <v>0</v>
      </c>
      <c r="AL19" s="2">
        <f>VLOOKUP($AI19,'Equipment &amp; Troop Q'!$F$3:$I$30,4,FALSE)</f>
        <v>0</v>
      </c>
    </row>
    <row r="20" spans="2:38" x14ac:dyDescent="0.2">
      <c r="B20" s="5" t="s">
        <v>101</v>
      </c>
      <c r="C20" s="43">
        <f>((((VLOOKUP($B20,'TL6-12 Elements'!$A$2:$I$67,2,FALSE))*L20)*M20)*(1+P20+T20+X20+AB20+AF20+AJ20))*N20</f>
        <v>0</v>
      </c>
      <c r="D20" s="43" t="str">
        <f>VLOOKUP($B20,'TL6-12 Elements'!$A$2:$I$67,3,FALSE)</f>
        <v>-</v>
      </c>
      <c r="E20" s="43">
        <f t="shared" si="0"/>
        <v>0</v>
      </c>
      <c r="F20" s="43" t="str">
        <f>VLOOKUP($B20,'TL6-12 Elements'!$A$2:$I$67,4,FALSE)</f>
        <v>-</v>
      </c>
      <c r="G20" s="43" t="str">
        <f>VLOOKUP($B20,'TL6-12 Elements'!$A$2:$I$67,5,FALSE)</f>
        <v>-</v>
      </c>
      <c r="H20" s="43" t="str">
        <f>VLOOKUP($B20,'TL6-12 Elements'!$A$2:$I$67,6,FALSE)</f>
        <v>-</v>
      </c>
      <c r="I20" s="45">
        <f>(((VLOOKUP($B20,'TL6-12 Elements'!$A$2:$I$67,7,FALSE))*M20)*(1+Q20+U20+Y20+AC20+AG20+AK20))*N20</f>
        <v>0</v>
      </c>
      <c r="J20" s="45">
        <f>(((VLOOKUP($B20,'TL6-12 Elements'!$A$2:$I$67,8,FALSE))*M20)*(1+R20+V20+Z20+AD20+AH20+AL20))*N20</f>
        <v>0</v>
      </c>
      <c r="K20" s="10">
        <v>7</v>
      </c>
      <c r="L20" s="10">
        <f>IF(VLOOKUP($B20,'TL6-12 Elements'!$A$2:$I$67,9,FALSE)-$K20=0,1,IF(VLOOKUP($B20,'TL6-12 Elements'!$A$2:$I$67,9,FALSE)-$K20=-1,2,IF(VLOOKUP($B20,'TL6-12 Elements'!$A$2:$I$67,9,FALSE)-$K20=-2,4,IF(VLOOKUP($B20,'TL6-12 Elements'!$A$2:$I$67,9,FALSE)-$K20=-3,8,IF(VLOOKUP($B20,'TL6-12 Elements'!$A$2:$I$67,9,FALSE)-$K20=-4,16,"Invalid")))))</f>
        <v>2</v>
      </c>
      <c r="M20" s="10">
        <v>1</v>
      </c>
      <c r="N20" s="44">
        <v>1</v>
      </c>
      <c r="O20" s="2" t="s">
        <v>138</v>
      </c>
      <c r="P20" s="2">
        <f>VLOOKUP(O20,'Equipment &amp; Troop Q'!$A$3:$D$7,2,FALSE)</f>
        <v>0</v>
      </c>
      <c r="Q20" s="2">
        <f>VLOOKUP($O20,'Equipment &amp; Troop Q'!$A$3:$D$7,3,FALSE)</f>
        <v>0</v>
      </c>
      <c r="R20" s="2">
        <f>VLOOKUP($O20,'Equipment &amp; Troop Q'!$A$3:$D$7,4,FALSE)</f>
        <v>0</v>
      </c>
      <c r="S20" s="2" t="s">
        <v>141</v>
      </c>
      <c r="T20" s="2">
        <f>VLOOKUP($S20,'Equipment &amp; Troop Q'!$A$13:$D$16,2,FALSE)</f>
        <v>0</v>
      </c>
      <c r="U20" s="2">
        <f>IF(OR(W20="Fanatic",AA20="Fanatic",AE20="Fanatic",AI20="Fanatic"),VLOOKUP($S20,'Equipment &amp; Troop Q'!$A$18:$D$19,3,FALSE),VLOOKUP($S20,'Equipment &amp; Troop Q'!$A$13:$D$16,3,FALSE))</f>
        <v>0</v>
      </c>
      <c r="V20" s="2">
        <f>VLOOKUP($S20,'Equipment &amp; Troop Q'!$A$13:$D$16,4,FALSE)</f>
        <v>0</v>
      </c>
      <c r="W20" s="2" t="s">
        <v>101</v>
      </c>
      <c r="X20" s="2">
        <f>VLOOKUP(W20,'Equipment &amp; Troop Q'!F$3:I$30,2,FALSE)</f>
        <v>0</v>
      </c>
      <c r="Y20" s="2">
        <f>VLOOKUP($W20,'Equipment &amp; Troop Q'!$F$3:$I$30,3,FALSE)</f>
        <v>0</v>
      </c>
      <c r="Z20" s="2">
        <f>VLOOKUP($W20,'Equipment &amp; Troop Q'!$F$3:$I$30,4,FALSE)</f>
        <v>0</v>
      </c>
      <c r="AA20" s="2" t="s">
        <v>101</v>
      </c>
      <c r="AB20" s="2">
        <f>VLOOKUP($AA20,'Equipment &amp; Troop Q'!$F$3:$I$30,2,FALSE)</f>
        <v>0</v>
      </c>
      <c r="AC20" s="2">
        <f>VLOOKUP($AA20,'Equipment &amp; Troop Q'!$F$3:$I$30,3,FALSE)</f>
        <v>0</v>
      </c>
      <c r="AD20" s="2">
        <f>VLOOKUP($AA20,'Equipment &amp; Troop Q'!$F$3:$I$30,4,FALSE)</f>
        <v>0</v>
      </c>
      <c r="AE20" s="2" t="s">
        <v>101</v>
      </c>
      <c r="AF20" s="2">
        <f>VLOOKUP($AE20,'Equipment &amp; Troop Q'!$F$3:$I$30,2,FALSE)</f>
        <v>0</v>
      </c>
      <c r="AG20" s="2">
        <f>VLOOKUP($AE20,'Equipment &amp; Troop Q'!$F$3:$I$30,3,FALSE)</f>
        <v>0</v>
      </c>
      <c r="AH20" s="2">
        <f>VLOOKUP($AE20,'Equipment &amp; Troop Q'!$F$3:$I$30,4,FALSE)</f>
        <v>0</v>
      </c>
      <c r="AI20" s="2" t="s">
        <v>101</v>
      </c>
      <c r="AJ20" s="2">
        <f>VLOOKUP($AI20,'Equipment &amp; Troop Q'!$F$3:$I$30,2,FALSE)</f>
        <v>0</v>
      </c>
      <c r="AK20" s="2">
        <f>VLOOKUP($AI20,'Equipment &amp; Troop Q'!$F$3:$I$30,3,FALSE)</f>
        <v>0</v>
      </c>
      <c r="AL20" s="2">
        <f>VLOOKUP($AI20,'Equipment &amp; Troop Q'!$F$3:$I$30,4,FALSE)</f>
        <v>0</v>
      </c>
    </row>
    <row r="21" spans="2:38" x14ac:dyDescent="0.2">
      <c r="B21" s="5" t="s">
        <v>101</v>
      </c>
      <c r="C21" s="43">
        <f>((((VLOOKUP($B21,'TL6-12 Elements'!$A$2:$I$67,2,FALSE))*L21)*M21)*(1+P21+T21+X21+AB21+AF21+AJ21))*N21</f>
        <v>0</v>
      </c>
      <c r="D21" s="43" t="str">
        <f>VLOOKUP($B21,'TL6-12 Elements'!$A$2:$I$67,3,FALSE)</f>
        <v>-</v>
      </c>
      <c r="E21" s="43">
        <f t="shared" si="0"/>
        <v>0</v>
      </c>
      <c r="F21" s="43" t="str">
        <f>VLOOKUP($B21,'TL6-12 Elements'!$A$2:$I$67,4,FALSE)</f>
        <v>-</v>
      </c>
      <c r="G21" s="43" t="str">
        <f>VLOOKUP($B21,'TL6-12 Elements'!$A$2:$I$67,5,FALSE)</f>
        <v>-</v>
      </c>
      <c r="H21" s="43" t="str">
        <f>VLOOKUP($B21,'TL6-12 Elements'!$A$2:$I$67,6,FALSE)</f>
        <v>-</v>
      </c>
      <c r="I21" s="45">
        <f>(((VLOOKUP($B21,'TL6-12 Elements'!$A$2:$I$67,7,FALSE))*M21)*(1+Q21+U21+Y21+AC21+AG21+AK21))*N21</f>
        <v>0</v>
      </c>
      <c r="J21" s="45">
        <f>(((VLOOKUP($B21,'TL6-12 Elements'!$A$2:$I$67,8,FALSE))*M21)*(1+R21+V21+Z21+AD21+AH21+AL21))*N21</f>
        <v>0</v>
      </c>
      <c r="K21" s="10">
        <v>7</v>
      </c>
      <c r="L21" s="10">
        <f>IF(VLOOKUP($B21,'TL6-12 Elements'!$A$2:$I$67,9,FALSE)-$K21=0,1,IF(VLOOKUP($B21,'TL6-12 Elements'!$A$2:$I$67,9,FALSE)-$K21=-1,2,IF(VLOOKUP($B21,'TL6-12 Elements'!$A$2:$I$67,9,FALSE)-$K21=-2,4,IF(VLOOKUP($B21,'TL6-12 Elements'!$A$2:$I$67,9,FALSE)-$K21=-3,8,IF(VLOOKUP($B21,'TL6-12 Elements'!$A$2:$I$67,9,FALSE)-$K21=-4,16,"Invalid")))))</f>
        <v>2</v>
      </c>
      <c r="M21" s="10">
        <v>1</v>
      </c>
      <c r="N21" s="44">
        <v>1</v>
      </c>
      <c r="O21" s="2" t="s">
        <v>138</v>
      </c>
      <c r="P21" s="2">
        <f>VLOOKUP(O21,'Equipment &amp; Troop Q'!$A$3:$D$7,2,FALSE)</f>
        <v>0</v>
      </c>
      <c r="Q21" s="2">
        <f>VLOOKUP($O21,'Equipment &amp; Troop Q'!$A$3:$D$7,3,FALSE)</f>
        <v>0</v>
      </c>
      <c r="R21" s="2">
        <f>VLOOKUP($O21,'Equipment &amp; Troop Q'!$A$3:$D$7,4,FALSE)</f>
        <v>0</v>
      </c>
      <c r="S21" s="2" t="s">
        <v>141</v>
      </c>
      <c r="T21" s="2">
        <f>VLOOKUP($S21,'Equipment &amp; Troop Q'!$A$13:$D$16,2,FALSE)</f>
        <v>0</v>
      </c>
      <c r="U21" s="2">
        <f>IF(OR(W21="Fanatic",AA21="Fanatic",AE21="Fanatic",AI21="Fanatic"),VLOOKUP($S21,'Equipment &amp; Troop Q'!$A$18:$D$19,3,FALSE),VLOOKUP($S21,'Equipment &amp; Troop Q'!$A$13:$D$16,3,FALSE))</f>
        <v>0</v>
      </c>
      <c r="V21" s="2">
        <f>VLOOKUP($S21,'Equipment &amp; Troop Q'!$A$13:$D$16,4,FALSE)</f>
        <v>0</v>
      </c>
      <c r="W21" s="2" t="s">
        <v>101</v>
      </c>
      <c r="X21" s="2">
        <f>VLOOKUP(W21,'Equipment &amp; Troop Q'!F$3:I$30,2,FALSE)</f>
        <v>0</v>
      </c>
      <c r="Y21" s="2">
        <f>VLOOKUP($W21,'Equipment &amp; Troop Q'!$F$3:$I$30,3,FALSE)</f>
        <v>0</v>
      </c>
      <c r="Z21" s="2">
        <f>VLOOKUP($W21,'Equipment &amp; Troop Q'!$F$3:$I$30,4,FALSE)</f>
        <v>0</v>
      </c>
      <c r="AA21" s="2" t="s">
        <v>101</v>
      </c>
      <c r="AB21" s="2">
        <f>VLOOKUP($AA21,'Equipment &amp; Troop Q'!$F$3:$I$30,2,FALSE)</f>
        <v>0</v>
      </c>
      <c r="AC21" s="2">
        <f>VLOOKUP($AA21,'Equipment &amp; Troop Q'!$F$3:$I$30,3,FALSE)</f>
        <v>0</v>
      </c>
      <c r="AD21" s="2">
        <f>VLOOKUP($AA21,'Equipment &amp; Troop Q'!$F$3:$I$30,4,FALSE)</f>
        <v>0</v>
      </c>
      <c r="AE21" s="2" t="s">
        <v>101</v>
      </c>
      <c r="AF21" s="2">
        <f>VLOOKUP($AE21,'Equipment &amp; Troop Q'!$F$3:$I$30,2,FALSE)</f>
        <v>0</v>
      </c>
      <c r="AG21" s="2">
        <f>VLOOKUP($AE21,'Equipment &amp; Troop Q'!$F$3:$I$30,3,FALSE)</f>
        <v>0</v>
      </c>
      <c r="AH21" s="2">
        <f>VLOOKUP($AE21,'Equipment &amp; Troop Q'!$F$3:$I$30,4,FALSE)</f>
        <v>0</v>
      </c>
      <c r="AI21" s="2" t="s">
        <v>101</v>
      </c>
      <c r="AJ21" s="2">
        <f>VLOOKUP($AI21,'Equipment &amp; Troop Q'!$F$3:$I$30,2,FALSE)</f>
        <v>0</v>
      </c>
      <c r="AK21" s="2">
        <f>VLOOKUP($AI21,'Equipment &amp; Troop Q'!$F$3:$I$30,3,FALSE)</f>
        <v>0</v>
      </c>
      <c r="AL21" s="2">
        <f>VLOOKUP($AI21,'Equipment &amp; Troop Q'!$F$3:$I$30,4,FALSE)</f>
        <v>0</v>
      </c>
    </row>
    <row r="22" spans="2:38" x14ac:dyDescent="0.2">
      <c r="B22" s="5" t="s">
        <v>101</v>
      </c>
      <c r="C22" s="43">
        <f>((((VLOOKUP($B22,'TL6-12 Elements'!$A$2:$I$67,2,FALSE))*L22)*M22)*(1+P22+T22+X22+AB22+AF22+AJ22))*N22</f>
        <v>0</v>
      </c>
      <c r="D22" s="43" t="str">
        <f>VLOOKUP($B22,'TL6-12 Elements'!$A$2:$I$67,3,FALSE)</f>
        <v>-</v>
      </c>
      <c r="E22" s="43">
        <f t="shared" si="0"/>
        <v>0</v>
      </c>
      <c r="F22" s="43" t="str">
        <f>VLOOKUP($B22,'TL6-12 Elements'!$A$2:$I$67,4,FALSE)</f>
        <v>-</v>
      </c>
      <c r="G22" s="43" t="str">
        <f>VLOOKUP($B22,'TL6-12 Elements'!$A$2:$I$67,5,FALSE)</f>
        <v>-</v>
      </c>
      <c r="H22" s="43" t="str">
        <f>VLOOKUP($B22,'TL6-12 Elements'!$A$2:$I$67,6,FALSE)</f>
        <v>-</v>
      </c>
      <c r="I22" s="45">
        <f>(((VLOOKUP($B22,'TL6-12 Elements'!$A$2:$I$67,7,FALSE))*M22)*(1+Q22+U22+Y22+AC22+AG22+AK22))*N22</f>
        <v>0</v>
      </c>
      <c r="J22" s="45">
        <f>(((VLOOKUP($B22,'TL6-12 Elements'!$A$2:$I$67,8,FALSE))*M22)*(1+R22+V22+Z22+AD22+AH22+AL22))*N22</f>
        <v>0</v>
      </c>
      <c r="K22" s="10">
        <v>7</v>
      </c>
      <c r="L22" s="10">
        <f>IF(VLOOKUP($B22,'TL6-12 Elements'!$A$2:$I$67,9,FALSE)-$K22=0,1,IF(VLOOKUP($B22,'TL6-12 Elements'!$A$2:$I$67,9,FALSE)-$K22=-1,2,IF(VLOOKUP($B22,'TL6-12 Elements'!$A$2:$I$67,9,FALSE)-$K22=-2,4,IF(VLOOKUP($B22,'TL6-12 Elements'!$A$2:$I$67,9,FALSE)-$K22=-3,8,IF(VLOOKUP($B22,'TL6-12 Elements'!$A$2:$I$67,9,FALSE)-$K22=-4,16,"Invalid")))))</f>
        <v>2</v>
      </c>
      <c r="M22" s="10">
        <v>1</v>
      </c>
      <c r="N22" s="44">
        <v>1</v>
      </c>
      <c r="O22" s="2" t="s">
        <v>138</v>
      </c>
      <c r="P22" s="2">
        <f>VLOOKUP(O22,'Equipment &amp; Troop Q'!$A$3:$D$7,2,FALSE)</f>
        <v>0</v>
      </c>
      <c r="Q22" s="2">
        <f>VLOOKUP($O22,'Equipment &amp; Troop Q'!$A$3:$D$7,3,FALSE)</f>
        <v>0</v>
      </c>
      <c r="R22" s="2">
        <f>VLOOKUP($O22,'Equipment &amp; Troop Q'!$A$3:$D$7,4,FALSE)</f>
        <v>0</v>
      </c>
      <c r="S22" s="2" t="s">
        <v>141</v>
      </c>
      <c r="T22" s="2">
        <f>VLOOKUP($S22,'Equipment &amp; Troop Q'!$A$13:$D$16,2,FALSE)</f>
        <v>0</v>
      </c>
      <c r="U22" s="2">
        <f>IF(OR(W22="Fanatic",AA22="Fanatic",AE22="Fanatic",AI22="Fanatic"),VLOOKUP($S22,'Equipment &amp; Troop Q'!$A$18:$D$19,3,FALSE),VLOOKUP($S22,'Equipment &amp; Troop Q'!$A$13:$D$16,3,FALSE))</f>
        <v>0</v>
      </c>
      <c r="V22" s="2">
        <f>VLOOKUP($S22,'Equipment &amp; Troop Q'!$A$13:$D$16,4,FALSE)</f>
        <v>0</v>
      </c>
      <c r="W22" s="2" t="s">
        <v>101</v>
      </c>
      <c r="X22" s="2">
        <f>VLOOKUP(W22,'Equipment &amp; Troop Q'!F$3:I$30,2,FALSE)</f>
        <v>0</v>
      </c>
      <c r="Y22" s="2">
        <f>VLOOKUP($W22,'Equipment &amp; Troop Q'!$F$3:$I$30,3,FALSE)</f>
        <v>0</v>
      </c>
      <c r="Z22" s="2">
        <f>VLOOKUP($W22,'Equipment &amp; Troop Q'!$F$3:$I$30,4,FALSE)</f>
        <v>0</v>
      </c>
      <c r="AA22" s="2" t="s">
        <v>101</v>
      </c>
      <c r="AB22" s="2">
        <f>VLOOKUP($AA22,'Equipment &amp; Troop Q'!$F$3:$I$30,2,FALSE)</f>
        <v>0</v>
      </c>
      <c r="AC22" s="2">
        <f>VLOOKUP($AA22,'Equipment &amp; Troop Q'!$F$3:$I$30,3,FALSE)</f>
        <v>0</v>
      </c>
      <c r="AD22" s="2">
        <f>VLOOKUP($AA22,'Equipment &amp; Troop Q'!$F$3:$I$30,4,FALSE)</f>
        <v>0</v>
      </c>
      <c r="AE22" s="2" t="s">
        <v>101</v>
      </c>
      <c r="AF22" s="2">
        <f>VLOOKUP($AE22,'Equipment &amp; Troop Q'!$F$3:$I$30,2,FALSE)</f>
        <v>0</v>
      </c>
      <c r="AG22" s="2">
        <f>VLOOKUP($AE22,'Equipment &amp; Troop Q'!$F$3:$I$30,3,FALSE)</f>
        <v>0</v>
      </c>
      <c r="AH22" s="2">
        <f>VLOOKUP($AE22,'Equipment &amp; Troop Q'!$F$3:$I$30,4,FALSE)</f>
        <v>0</v>
      </c>
      <c r="AI22" s="2" t="s">
        <v>101</v>
      </c>
      <c r="AJ22" s="2">
        <f>VLOOKUP($AI22,'Equipment &amp; Troop Q'!$F$3:$I$30,2,FALSE)</f>
        <v>0</v>
      </c>
      <c r="AK22" s="2">
        <f>VLOOKUP($AI22,'Equipment &amp; Troop Q'!$F$3:$I$30,3,FALSE)</f>
        <v>0</v>
      </c>
      <c r="AL22" s="2">
        <f>VLOOKUP($AI22,'Equipment &amp; Troop Q'!$F$3:$I$30,4,FALSE)</f>
        <v>0</v>
      </c>
    </row>
    <row r="23" spans="2:38" x14ac:dyDescent="0.2">
      <c r="B23" s="5" t="s">
        <v>101</v>
      </c>
      <c r="C23" s="43">
        <f>((((VLOOKUP($B23,'TL6-12 Elements'!$A$2:$I$67,2,FALSE))*L23)*M23)*(1+P23+T23+X23+AB23+AF23+AJ23))*N23</f>
        <v>0</v>
      </c>
      <c r="D23" s="43" t="str">
        <f>VLOOKUP($B23,'TL6-12 Elements'!$A$2:$I$67,3,FALSE)</f>
        <v>-</v>
      </c>
      <c r="E23" s="43">
        <f t="shared" si="0"/>
        <v>0</v>
      </c>
      <c r="F23" s="43" t="str">
        <f>VLOOKUP($B23,'TL6-12 Elements'!$A$2:$I$67,4,FALSE)</f>
        <v>-</v>
      </c>
      <c r="G23" s="43" t="str">
        <f>VLOOKUP($B23,'TL6-12 Elements'!$A$2:$I$67,5,FALSE)</f>
        <v>-</v>
      </c>
      <c r="H23" s="43" t="str">
        <f>VLOOKUP($B23,'TL6-12 Elements'!$A$2:$I$67,6,FALSE)</f>
        <v>-</v>
      </c>
      <c r="I23" s="45">
        <f>(((VLOOKUP($B23,'TL6-12 Elements'!$A$2:$I$67,7,FALSE))*M23)*(1+Q23+U23+Y23+AC23+AG23+AK23))*N23</f>
        <v>0</v>
      </c>
      <c r="J23" s="45">
        <f>(((VLOOKUP($B23,'TL6-12 Elements'!$A$2:$I$67,8,FALSE))*M23)*(1+R23+V23+Z23+AD23+AH23+AL23))*N23</f>
        <v>0</v>
      </c>
      <c r="K23" s="10">
        <v>7</v>
      </c>
      <c r="L23" s="10">
        <f>IF(VLOOKUP($B23,'TL6-12 Elements'!$A$2:$I$67,9,FALSE)-$K23=0,1,IF(VLOOKUP($B23,'TL6-12 Elements'!$A$2:$I$67,9,FALSE)-$K23=-1,2,IF(VLOOKUP($B23,'TL6-12 Elements'!$A$2:$I$67,9,FALSE)-$K23=-2,4,IF(VLOOKUP($B23,'TL6-12 Elements'!$A$2:$I$67,9,FALSE)-$K23=-3,8,IF(VLOOKUP($B23,'TL6-12 Elements'!$A$2:$I$67,9,FALSE)-$K23=-4,16,"Invalid")))))</f>
        <v>2</v>
      </c>
      <c r="M23" s="10">
        <v>1</v>
      </c>
      <c r="N23" s="44">
        <v>1</v>
      </c>
      <c r="O23" s="2" t="s">
        <v>138</v>
      </c>
      <c r="P23" s="2">
        <f>VLOOKUP(O23,'Equipment &amp; Troop Q'!$A$3:$D$7,2,FALSE)</f>
        <v>0</v>
      </c>
      <c r="Q23" s="2">
        <f>VLOOKUP($O23,'Equipment &amp; Troop Q'!$A$3:$D$7,3,FALSE)</f>
        <v>0</v>
      </c>
      <c r="R23" s="2">
        <f>VLOOKUP($O23,'Equipment &amp; Troop Q'!$A$3:$D$7,4,FALSE)</f>
        <v>0</v>
      </c>
      <c r="S23" s="2" t="s">
        <v>141</v>
      </c>
      <c r="T23" s="2">
        <f>VLOOKUP($S23,'Equipment &amp; Troop Q'!$A$13:$D$16,2,FALSE)</f>
        <v>0</v>
      </c>
      <c r="U23" s="2">
        <f>IF(OR(W23="Fanatic",AA23="Fanatic",AE23="Fanatic",AI23="Fanatic"),VLOOKUP($S23,'Equipment &amp; Troop Q'!$A$18:$D$19,3,FALSE),VLOOKUP($S23,'Equipment &amp; Troop Q'!$A$13:$D$16,3,FALSE))</f>
        <v>0</v>
      </c>
      <c r="V23" s="2">
        <f>VLOOKUP($S23,'Equipment &amp; Troop Q'!$A$13:$D$16,4,FALSE)</f>
        <v>0</v>
      </c>
      <c r="W23" s="2" t="s">
        <v>101</v>
      </c>
      <c r="X23" s="2">
        <f>VLOOKUP(W23,'Equipment &amp; Troop Q'!F$3:I$30,2,FALSE)</f>
        <v>0</v>
      </c>
      <c r="Y23" s="2">
        <f>VLOOKUP($W23,'Equipment &amp; Troop Q'!$F$3:$I$30,3,FALSE)</f>
        <v>0</v>
      </c>
      <c r="Z23" s="2">
        <f>VLOOKUP($W23,'Equipment &amp; Troop Q'!$F$3:$I$30,4,FALSE)</f>
        <v>0</v>
      </c>
      <c r="AA23" s="2" t="s">
        <v>101</v>
      </c>
      <c r="AB23" s="2">
        <f>VLOOKUP($AA23,'Equipment &amp; Troop Q'!$F$3:$I$30,2,FALSE)</f>
        <v>0</v>
      </c>
      <c r="AC23" s="2">
        <f>VLOOKUP($AA23,'Equipment &amp; Troop Q'!$F$3:$I$30,3,FALSE)</f>
        <v>0</v>
      </c>
      <c r="AD23" s="2">
        <f>VLOOKUP($AA23,'Equipment &amp; Troop Q'!$F$3:$I$30,4,FALSE)</f>
        <v>0</v>
      </c>
      <c r="AE23" s="2" t="s">
        <v>101</v>
      </c>
      <c r="AF23" s="2">
        <f>VLOOKUP($AE23,'Equipment &amp; Troop Q'!$F$3:$I$30,2,FALSE)</f>
        <v>0</v>
      </c>
      <c r="AG23" s="2">
        <f>VLOOKUP($AE23,'Equipment &amp; Troop Q'!$F$3:$I$30,3,FALSE)</f>
        <v>0</v>
      </c>
      <c r="AH23" s="2">
        <f>VLOOKUP($AE23,'Equipment &amp; Troop Q'!$F$3:$I$30,4,FALSE)</f>
        <v>0</v>
      </c>
      <c r="AI23" s="2" t="s">
        <v>101</v>
      </c>
      <c r="AJ23" s="2">
        <f>VLOOKUP($AI23,'Equipment &amp; Troop Q'!$F$3:$I$30,2,FALSE)</f>
        <v>0</v>
      </c>
      <c r="AK23" s="2">
        <f>VLOOKUP($AI23,'Equipment &amp; Troop Q'!$F$3:$I$30,3,FALSE)</f>
        <v>0</v>
      </c>
      <c r="AL23" s="2">
        <f>VLOOKUP($AI23,'Equipment &amp; Troop Q'!$F$3:$I$30,4,FALSE)</f>
        <v>0</v>
      </c>
    </row>
    <row r="24" spans="2:38" x14ac:dyDescent="0.2">
      <c r="B24" s="5" t="s">
        <v>101</v>
      </c>
      <c r="C24" s="43">
        <f>((((VLOOKUP($B24,'TL6-12 Elements'!$A$2:$I$67,2,FALSE))*L24)*M24)*(1+P24+T24+X24+AB24+AF24+AJ24))*N24</f>
        <v>0</v>
      </c>
      <c r="D24" s="43" t="str">
        <f>VLOOKUP($B24,'TL6-12 Elements'!$A$2:$I$67,3,FALSE)</f>
        <v>-</v>
      </c>
      <c r="E24" s="43">
        <f t="shared" si="0"/>
        <v>0</v>
      </c>
      <c r="F24" s="43" t="str">
        <f>VLOOKUP($B24,'TL6-12 Elements'!$A$2:$I$67,4,FALSE)</f>
        <v>-</v>
      </c>
      <c r="G24" s="43" t="str">
        <f>VLOOKUP($B24,'TL6-12 Elements'!$A$2:$I$67,5,FALSE)</f>
        <v>-</v>
      </c>
      <c r="H24" s="43" t="str">
        <f>VLOOKUP($B24,'TL6-12 Elements'!$A$2:$I$67,6,FALSE)</f>
        <v>-</v>
      </c>
      <c r="I24" s="45">
        <f>(((VLOOKUP($B24,'TL6-12 Elements'!$A$2:$I$67,7,FALSE))*M24)*(1+Q24+U24+Y24+AC24+AG24+AK24))*N24</f>
        <v>0</v>
      </c>
      <c r="J24" s="45">
        <f>(((VLOOKUP($B24,'TL6-12 Elements'!$A$2:$I$67,8,FALSE))*M24)*(1+R24+V24+Z24+AD24+AH24+AL24))*N24</f>
        <v>0</v>
      </c>
      <c r="K24" s="10">
        <v>7</v>
      </c>
      <c r="L24" s="10">
        <f>IF(VLOOKUP($B24,'TL6-12 Elements'!$A$2:$I$67,9,FALSE)-$K24=0,1,IF(VLOOKUP($B24,'TL6-12 Elements'!$A$2:$I$67,9,FALSE)-$K24=-1,2,IF(VLOOKUP($B24,'TL6-12 Elements'!$A$2:$I$67,9,FALSE)-$K24=-2,4,IF(VLOOKUP($B24,'TL6-12 Elements'!$A$2:$I$67,9,FALSE)-$K24=-3,8,IF(VLOOKUP($B24,'TL6-12 Elements'!$A$2:$I$67,9,FALSE)-$K24=-4,16,"Invalid")))))</f>
        <v>2</v>
      </c>
      <c r="M24" s="10">
        <v>1</v>
      </c>
      <c r="N24" s="44">
        <v>1</v>
      </c>
      <c r="O24" s="2" t="s">
        <v>138</v>
      </c>
      <c r="P24" s="2">
        <f>VLOOKUP(O24,'Equipment &amp; Troop Q'!$A$3:$D$7,2,FALSE)</f>
        <v>0</v>
      </c>
      <c r="Q24" s="2">
        <f>VLOOKUP($O24,'Equipment &amp; Troop Q'!$A$3:$D$7,3,FALSE)</f>
        <v>0</v>
      </c>
      <c r="R24" s="2">
        <f>VLOOKUP($O24,'Equipment &amp; Troop Q'!$A$3:$D$7,4,FALSE)</f>
        <v>0</v>
      </c>
      <c r="S24" s="2" t="s">
        <v>141</v>
      </c>
      <c r="T24" s="2">
        <f>VLOOKUP($S24,'Equipment &amp; Troop Q'!$A$13:$D$16,2,FALSE)</f>
        <v>0</v>
      </c>
      <c r="U24" s="2">
        <f>IF(OR(W24="Fanatic",AA24="Fanatic",AE24="Fanatic",AI24="Fanatic"),VLOOKUP($S24,'Equipment &amp; Troop Q'!$A$18:$D$19,3,FALSE),VLOOKUP($S24,'Equipment &amp; Troop Q'!$A$13:$D$16,3,FALSE))</f>
        <v>0</v>
      </c>
      <c r="V24" s="2">
        <f>VLOOKUP($S24,'Equipment &amp; Troop Q'!$A$13:$D$16,4,FALSE)</f>
        <v>0</v>
      </c>
      <c r="W24" s="2" t="s">
        <v>101</v>
      </c>
      <c r="X24" s="2">
        <f>VLOOKUP(W24,'Equipment &amp; Troop Q'!F$3:I$30,2,FALSE)</f>
        <v>0</v>
      </c>
      <c r="Y24" s="2">
        <f>VLOOKUP($W24,'Equipment &amp; Troop Q'!$F$3:$I$30,3,FALSE)</f>
        <v>0</v>
      </c>
      <c r="Z24" s="2">
        <f>VLOOKUP($W24,'Equipment &amp; Troop Q'!$F$3:$I$30,4,FALSE)</f>
        <v>0</v>
      </c>
      <c r="AA24" s="2" t="s">
        <v>101</v>
      </c>
      <c r="AB24" s="2">
        <f>VLOOKUP($AA24,'Equipment &amp; Troop Q'!$F$3:$I$30,2,FALSE)</f>
        <v>0</v>
      </c>
      <c r="AC24" s="2">
        <f>VLOOKUP($AA24,'Equipment &amp; Troop Q'!$F$3:$I$30,3,FALSE)</f>
        <v>0</v>
      </c>
      <c r="AD24" s="2">
        <f>VLOOKUP($AA24,'Equipment &amp; Troop Q'!$F$3:$I$30,4,FALSE)</f>
        <v>0</v>
      </c>
      <c r="AE24" s="2" t="s">
        <v>101</v>
      </c>
      <c r="AF24" s="2">
        <f>VLOOKUP($AE24,'Equipment &amp; Troop Q'!$F$3:$I$30,2,FALSE)</f>
        <v>0</v>
      </c>
      <c r="AG24" s="2">
        <f>VLOOKUP($AE24,'Equipment &amp; Troop Q'!$F$3:$I$30,3,FALSE)</f>
        <v>0</v>
      </c>
      <c r="AH24" s="2">
        <f>VLOOKUP($AE24,'Equipment &amp; Troop Q'!$F$3:$I$30,4,FALSE)</f>
        <v>0</v>
      </c>
      <c r="AI24" s="2" t="s">
        <v>101</v>
      </c>
      <c r="AJ24" s="2">
        <f>VLOOKUP($AI24,'Equipment &amp; Troop Q'!$F$3:$I$30,2,FALSE)</f>
        <v>0</v>
      </c>
      <c r="AK24" s="2">
        <f>VLOOKUP($AI24,'Equipment &amp; Troop Q'!$F$3:$I$30,3,FALSE)</f>
        <v>0</v>
      </c>
      <c r="AL24" s="2">
        <f>VLOOKUP($AI24,'Equipment &amp; Troop Q'!$F$3:$I$30,4,FALSE)</f>
        <v>0</v>
      </c>
    </row>
    <row r="25" spans="2:38" x14ac:dyDescent="0.2">
      <c r="B25" s="5" t="s">
        <v>101</v>
      </c>
      <c r="C25" s="43">
        <f>((((VLOOKUP($B25,'TL6-12 Elements'!$A$2:$I$67,2,FALSE))*L25)*M25)*(1+P25+T25+X25+AB25+AF25+AJ25))*N25</f>
        <v>0</v>
      </c>
      <c r="D25" s="43" t="str">
        <f>VLOOKUP($B25,'TL6-12 Elements'!$A$2:$I$67,3,FALSE)</f>
        <v>-</v>
      </c>
      <c r="E25" s="43">
        <f t="shared" si="0"/>
        <v>0</v>
      </c>
      <c r="F25" s="43" t="str">
        <f>VLOOKUP($B25,'TL6-12 Elements'!$A$2:$I$67,4,FALSE)</f>
        <v>-</v>
      </c>
      <c r="G25" s="43" t="str">
        <f>VLOOKUP($B25,'TL6-12 Elements'!$A$2:$I$67,5,FALSE)</f>
        <v>-</v>
      </c>
      <c r="H25" s="43" t="str">
        <f>VLOOKUP($B25,'TL6-12 Elements'!$A$2:$I$67,6,FALSE)</f>
        <v>-</v>
      </c>
      <c r="I25" s="45">
        <f>(((VLOOKUP($B25,'TL6-12 Elements'!$A$2:$I$67,7,FALSE))*M25)*(1+Q25+U25+Y25+AC25+AG25+AK25))*N25</f>
        <v>0</v>
      </c>
      <c r="J25" s="45">
        <f>(((VLOOKUP($B25,'TL6-12 Elements'!$A$2:$I$67,8,FALSE))*M25)*(1+R25+V25+Z25+AD25+AH25+AL25))*N25</f>
        <v>0</v>
      </c>
      <c r="K25" s="10">
        <v>7</v>
      </c>
      <c r="L25" s="10">
        <f>IF(VLOOKUP($B25,'TL6-12 Elements'!$A$2:$I$67,9,FALSE)-$K25=0,1,IF(VLOOKUP($B25,'TL6-12 Elements'!$A$2:$I$67,9,FALSE)-$K25=-1,2,IF(VLOOKUP($B25,'TL6-12 Elements'!$A$2:$I$67,9,FALSE)-$K25=-2,4,IF(VLOOKUP($B25,'TL6-12 Elements'!$A$2:$I$67,9,FALSE)-$K25=-3,8,IF(VLOOKUP($B25,'TL6-12 Elements'!$A$2:$I$67,9,FALSE)-$K25=-4,16,"Invalid")))))</f>
        <v>2</v>
      </c>
      <c r="M25" s="10">
        <v>1</v>
      </c>
      <c r="N25" s="44">
        <v>1</v>
      </c>
      <c r="O25" s="2" t="s">
        <v>138</v>
      </c>
      <c r="P25" s="2">
        <f>VLOOKUP(O25,'Equipment &amp; Troop Q'!$A$3:$D$7,2,FALSE)</f>
        <v>0</v>
      </c>
      <c r="Q25" s="2">
        <f>VLOOKUP($O25,'Equipment &amp; Troop Q'!$A$3:$D$7,3,FALSE)</f>
        <v>0</v>
      </c>
      <c r="R25" s="2">
        <f>VLOOKUP($O25,'Equipment &amp; Troop Q'!$A$3:$D$7,4,FALSE)</f>
        <v>0</v>
      </c>
      <c r="S25" s="2" t="s">
        <v>141</v>
      </c>
      <c r="T25" s="2">
        <f>VLOOKUP($S25,'Equipment &amp; Troop Q'!$A$13:$D$16,2,FALSE)</f>
        <v>0</v>
      </c>
      <c r="U25" s="2">
        <f>IF(OR(W25="Fanatic",AA25="Fanatic",AE25="Fanatic",AI25="Fanatic"),VLOOKUP($S25,'Equipment &amp; Troop Q'!$A$18:$D$19,3,FALSE),VLOOKUP($S25,'Equipment &amp; Troop Q'!$A$13:$D$16,3,FALSE))</f>
        <v>0</v>
      </c>
      <c r="V25" s="2">
        <f>VLOOKUP($S25,'Equipment &amp; Troop Q'!$A$13:$D$16,4,FALSE)</f>
        <v>0</v>
      </c>
      <c r="W25" s="2" t="s">
        <v>101</v>
      </c>
      <c r="X25" s="2">
        <f>VLOOKUP(W25,'Equipment &amp; Troop Q'!F$3:I$30,2,FALSE)</f>
        <v>0</v>
      </c>
      <c r="Y25" s="2">
        <f>VLOOKUP($W25,'Equipment &amp; Troop Q'!$F$3:$I$30,3,FALSE)</f>
        <v>0</v>
      </c>
      <c r="Z25" s="2">
        <f>VLOOKUP($W25,'Equipment &amp; Troop Q'!$F$3:$I$30,4,FALSE)</f>
        <v>0</v>
      </c>
      <c r="AA25" s="2" t="s">
        <v>101</v>
      </c>
      <c r="AB25" s="2">
        <f>VLOOKUP($AA25,'Equipment &amp; Troop Q'!$F$3:$I$30,2,FALSE)</f>
        <v>0</v>
      </c>
      <c r="AC25" s="2">
        <f>VLOOKUP($AA25,'Equipment &amp; Troop Q'!$F$3:$I$30,3,FALSE)</f>
        <v>0</v>
      </c>
      <c r="AD25" s="2">
        <f>VLOOKUP($AA25,'Equipment &amp; Troop Q'!$F$3:$I$30,4,FALSE)</f>
        <v>0</v>
      </c>
      <c r="AE25" s="2" t="s">
        <v>101</v>
      </c>
      <c r="AF25" s="2">
        <f>VLOOKUP($AE25,'Equipment &amp; Troop Q'!$F$3:$I$30,2,FALSE)</f>
        <v>0</v>
      </c>
      <c r="AG25" s="2">
        <f>VLOOKUP($AE25,'Equipment &amp; Troop Q'!$F$3:$I$30,3,FALSE)</f>
        <v>0</v>
      </c>
      <c r="AH25" s="2">
        <f>VLOOKUP($AE25,'Equipment &amp; Troop Q'!$F$3:$I$30,4,FALSE)</f>
        <v>0</v>
      </c>
      <c r="AI25" s="2" t="s">
        <v>101</v>
      </c>
      <c r="AJ25" s="2">
        <f>VLOOKUP($AI25,'Equipment &amp; Troop Q'!$F$3:$I$30,2,FALSE)</f>
        <v>0</v>
      </c>
      <c r="AK25" s="2">
        <f>VLOOKUP($AI25,'Equipment &amp; Troop Q'!$F$3:$I$30,3,FALSE)</f>
        <v>0</v>
      </c>
      <c r="AL25" s="2">
        <f>VLOOKUP($AI25,'Equipment &amp; Troop Q'!$F$3:$I$30,4,FALSE)</f>
        <v>0</v>
      </c>
    </row>
    <row r="26" spans="2:38" x14ac:dyDescent="0.2">
      <c r="B26" s="5" t="s">
        <v>101</v>
      </c>
      <c r="C26" s="43">
        <f>((((VLOOKUP($B26,'TL6-12 Elements'!$A$2:$I$67,2,FALSE))*L26)*M26)*(1+P26+T26+X26+AB26+AF26+AJ26))*N26</f>
        <v>0</v>
      </c>
      <c r="D26" s="43" t="str">
        <f>VLOOKUP($B26,'TL6-12 Elements'!$A$2:$I$67,3,FALSE)</f>
        <v>-</v>
      </c>
      <c r="E26" s="43">
        <f t="shared" si="0"/>
        <v>0</v>
      </c>
      <c r="F26" s="43" t="str">
        <f>VLOOKUP($B26,'TL6-12 Elements'!$A$2:$I$67,4,FALSE)</f>
        <v>-</v>
      </c>
      <c r="G26" s="43" t="str">
        <f>VLOOKUP($B26,'TL6-12 Elements'!$A$2:$I$67,5,FALSE)</f>
        <v>-</v>
      </c>
      <c r="H26" s="43" t="str">
        <f>VLOOKUP($B26,'TL6-12 Elements'!$A$2:$I$67,6,FALSE)</f>
        <v>-</v>
      </c>
      <c r="I26" s="45">
        <f>(((VLOOKUP($B26,'TL6-12 Elements'!$A$2:$I$67,7,FALSE))*M26)*(1+Q26+U26+Y26+AC26+AG26+AK26))*N26</f>
        <v>0</v>
      </c>
      <c r="J26" s="45">
        <f>(((VLOOKUP($B26,'TL6-12 Elements'!$A$2:$I$67,8,FALSE))*M26)*(1+R26+V26+Z26+AD26+AH26+AL26))*N26</f>
        <v>0</v>
      </c>
      <c r="K26" s="10">
        <v>7</v>
      </c>
      <c r="L26" s="10">
        <f>IF(VLOOKUP($B26,'TL6-12 Elements'!$A$2:$I$67,9,FALSE)-$K26=0,1,IF(VLOOKUP($B26,'TL6-12 Elements'!$A$2:$I$67,9,FALSE)-$K26=-1,2,IF(VLOOKUP($B26,'TL6-12 Elements'!$A$2:$I$67,9,FALSE)-$K26=-2,4,IF(VLOOKUP($B26,'TL6-12 Elements'!$A$2:$I$67,9,FALSE)-$K26=-3,8,IF(VLOOKUP($B26,'TL6-12 Elements'!$A$2:$I$67,9,FALSE)-$K26=-4,16,"Invalid")))))</f>
        <v>2</v>
      </c>
      <c r="M26" s="10">
        <v>1</v>
      </c>
      <c r="N26" s="44">
        <v>1</v>
      </c>
      <c r="O26" s="2" t="s">
        <v>138</v>
      </c>
      <c r="P26" s="2">
        <f>VLOOKUP(O26,'Equipment &amp; Troop Q'!$A$3:$D$7,2,FALSE)</f>
        <v>0</v>
      </c>
      <c r="Q26" s="2">
        <f>VLOOKUP($O26,'Equipment &amp; Troop Q'!$A$3:$D$7,3,FALSE)</f>
        <v>0</v>
      </c>
      <c r="R26" s="2">
        <f>VLOOKUP($O26,'Equipment &amp; Troop Q'!$A$3:$D$7,4,FALSE)</f>
        <v>0</v>
      </c>
      <c r="S26" s="2" t="s">
        <v>141</v>
      </c>
      <c r="T26" s="2">
        <f>VLOOKUP($S26,'Equipment &amp; Troop Q'!$A$13:$D$16,2,FALSE)</f>
        <v>0</v>
      </c>
      <c r="U26" s="2">
        <f>IF(OR(W26="Fanatic",AA26="Fanatic",AE26="Fanatic",AI26="Fanatic"),VLOOKUP($S26,'Equipment &amp; Troop Q'!$A$18:$D$19,3,FALSE),VLOOKUP($S26,'Equipment &amp; Troop Q'!$A$13:$D$16,3,FALSE))</f>
        <v>0</v>
      </c>
      <c r="V26" s="2">
        <f>VLOOKUP($S26,'Equipment &amp; Troop Q'!$A$13:$D$16,4,FALSE)</f>
        <v>0</v>
      </c>
      <c r="W26" s="2" t="s">
        <v>101</v>
      </c>
      <c r="X26" s="2">
        <f>VLOOKUP(W26,'Equipment &amp; Troop Q'!F$3:I$30,2,FALSE)</f>
        <v>0</v>
      </c>
      <c r="Y26" s="2">
        <f>VLOOKUP($W26,'Equipment &amp; Troop Q'!$F$3:$I$30,3,FALSE)</f>
        <v>0</v>
      </c>
      <c r="Z26" s="2">
        <f>VLOOKUP($W26,'Equipment &amp; Troop Q'!$F$3:$I$30,4,FALSE)</f>
        <v>0</v>
      </c>
      <c r="AA26" s="2" t="s">
        <v>101</v>
      </c>
      <c r="AB26" s="2">
        <f>VLOOKUP($AA26,'Equipment &amp; Troop Q'!$F$3:$I$30,2,FALSE)</f>
        <v>0</v>
      </c>
      <c r="AC26" s="2">
        <f>VLOOKUP($AA26,'Equipment &amp; Troop Q'!$F$3:$I$30,3,FALSE)</f>
        <v>0</v>
      </c>
      <c r="AD26" s="2">
        <f>VLOOKUP($AA26,'Equipment &amp; Troop Q'!$F$3:$I$30,4,FALSE)</f>
        <v>0</v>
      </c>
      <c r="AE26" s="2" t="s">
        <v>101</v>
      </c>
      <c r="AF26" s="2">
        <f>VLOOKUP($AE26,'Equipment &amp; Troop Q'!$F$3:$I$30,2,FALSE)</f>
        <v>0</v>
      </c>
      <c r="AG26" s="2">
        <f>VLOOKUP($AE26,'Equipment &amp; Troop Q'!$F$3:$I$30,3,FALSE)</f>
        <v>0</v>
      </c>
      <c r="AH26" s="2">
        <f>VLOOKUP($AE26,'Equipment &amp; Troop Q'!$F$3:$I$30,4,FALSE)</f>
        <v>0</v>
      </c>
      <c r="AI26" s="2" t="s">
        <v>101</v>
      </c>
      <c r="AJ26" s="2">
        <f>VLOOKUP($AI26,'Equipment &amp; Troop Q'!$F$3:$I$30,2,FALSE)</f>
        <v>0</v>
      </c>
      <c r="AK26" s="2">
        <f>VLOOKUP($AI26,'Equipment &amp; Troop Q'!$F$3:$I$30,3,FALSE)</f>
        <v>0</v>
      </c>
      <c r="AL26" s="2">
        <f>VLOOKUP($AI26,'Equipment &amp; Troop Q'!$F$3:$I$30,4,FALSE)</f>
        <v>0</v>
      </c>
    </row>
    <row r="27" spans="2:38" x14ac:dyDescent="0.2">
      <c r="B27" s="5" t="s">
        <v>101</v>
      </c>
      <c r="C27" s="43">
        <f>((((VLOOKUP($B27,'TL6-12 Elements'!$A$2:$I$67,2,FALSE))*L27)*M27)*(1+P27+T27+X27+AB27+AF27+AJ27))*N27</f>
        <v>0</v>
      </c>
      <c r="D27" s="43" t="str">
        <f>VLOOKUP($B27,'TL6-12 Elements'!$A$2:$I$67,3,FALSE)</f>
        <v>-</v>
      </c>
      <c r="E27" s="43">
        <f t="shared" si="0"/>
        <v>0</v>
      </c>
      <c r="F27" s="43" t="str">
        <f>VLOOKUP($B27,'TL6-12 Elements'!$A$2:$I$67,4,FALSE)</f>
        <v>-</v>
      </c>
      <c r="G27" s="43" t="str">
        <f>VLOOKUP($B27,'TL6-12 Elements'!$A$2:$I$67,5,FALSE)</f>
        <v>-</v>
      </c>
      <c r="H27" s="43" t="str">
        <f>VLOOKUP($B27,'TL6-12 Elements'!$A$2:$I$67,6,FALSE)</f>
        <v>-</v>
      </c>
      <c r="I27" s="45">
        <f>(((VLOOKUP($B27,'TL6-12 Elements'!$A$2:$I$67,7,FALSE))*M27)*(1+Q27+U27+Y27+AC27+AG27+AK27))*N27</f>
        <v>0</v>
      </c>
      <c r="J27" s="45">
        <f>(((VLOOKUP($B27,'TL6-12 Elements'!$A$2:$I$67,8,FALSE))*M27)*(1+R27+V27+Z27+AD27+AH27+AL27))*N27</f>
        <v>0</v>
      </c>
      <c r="K27" s="10">
        <v>7</v>
      </c>
      <c r="L27" s="10">
        <f>IF(VLOOKUP($B27,'TL6-12 Elements'!$A$2:$I$67,9,FALSE)-$K27=0,1,IF(VLOOKUP($B27,'TL6-12 Elements'!$A$2:$I$67,9,FALSE)-$K27=-1,2,IF(VLOOKUP($B27,'TL6-12 Elements'!$A$2:$I$67,9,FALSE)-$K27=-2,4,IF(VLOOKUP($B27,'TL6-12 Elements'!$A$2:$I$67,9,FALSE)-$K27=-3,8,IF(VLOOKUP($B27,'TL6-12 Elements'!$A$2:$I$67,9,FALSE)-$K27=-4,16,"Invalid")))))</f>
        <v>2</v>
      </c>
      <c r="M27" s="10">
        <v>1</v>
      </c>
      <c r="N27" s="44">
        <v>1</v>
      </c>
      <c r="O27" s="2" t="s">
        <v>138</v>
      </c>
      <c r="P27" s="2">
        <f>VLOOKUP(O27,'Equipment &amp; Troop Q'!$A$3:$D$7,2,FALSE)</f>
        <v>0</v>
      </c>
      <c r="Q27" s="2">
        <f>VLOOKUP($O27,'Equipment &amp; Troop Q'!$A$3:$D$7,3,FALSE)</f>
        <v>0</v>
      </c>
      <c r="R27" s="2">
        <f>VLOOKUP($O27,'Equipment &amp; Troop Q'!$A$3:$D$7,4,FALSE)</f>
        <v>0</v>
      </c>
      <c r="S27" s="2" t="s">
        <v>141</v>
      </c>
      <c r="T27" s="2">
        <f>VLOOKUP($S27,'Equipment &amp; Troop Q'!$A$13:$D$16,2,FALSE)</f>
        <v>0</v>
      </c>
      <c r="U27" s="2">
        <f>IF(OR(W27="Fanatic",AA27="Fanatic",AE27="Fanatic",AI27="Fanatic"),VLOOKUP($S27,'Equipment &amp; Troop Q'!$A$18:$D$19,3,FALSE),VLOOKUP($S27,'Equipment &amp; Troop Q'!$A$13:$D$16,3,FALSE))</f>
        <v>0</v>
      </c>
      <c r="V27" s="2">
        <f>VLOOKUP($S27,'Equipment &amp; Troop Q'!$A$13:$D$16,4,FALSE)</f>
        <v>0</v>
      </c>
      <c r="W27" s="2" t="s">
        <v>101</v>
      </c>
      <c r="X27" s="2">
        <f>VLOOKUP(W27,'Equipment &amp; Troop Q'!F$3:I$30,2,FALSE)</f>
        <v>0</v>
      </c>
      <c r="Y27" s="2">
        <f>VLOOKUP($W27,'Equipment &amp; Troop Q'!$F$3:$I$30,3,FALSE)</f>
        <v>0</v>
      </c>
      <c r="Z27" s="2">
        <f>VLOOKUP($W27,'Equipment &amp; Troop Q'!$F$3:$I$30,4,FALSE)</f>
        <v>0</v>
      </c>
      <c r="AA27" s="2" t="s">
        <v>101</v>
      </c>
      <c r="AB27" s="2">
        <f>VLOOKUP($AA27,'Equipment &amp; Troop Q'!$F$3:$I$30,2,FALSE)</f>
        <v>0</v>
      </c>
      <c r="AC27" s="2">
        <f>VLOOKUP($AA27,'Equipment &amp; Troop Q'!$F$3:$I$30,3,FALSE)</f>
        <v>0</v>
      </c>
      <c r="AD27" s="2">
        <f>VLOOKUP($AA27,'Equipment &amp; Troop Q'!$F$3:$I$30,4,FALSE)</f>
        <v>0</v>
      </c>
      <c r="AE27" s="2" t="s">
        <v>101</v>
      </c>
      <c r="AF27" s="2">
        <f>VLOOKUP($AE27,'Equipment &amp; Troop Q'!$F$3:$I$30,2,FALSE)</f>
        <v>0</v>
      </c>
      <c r="AG27" s="2">
        <f>VLOOKUP($AE27,'Equipment &amp; Troop Q'!$F$3:$I$30,3,FALSE)</f>
        <v>0</v>
      </c>
      <c r="AH27" s="2">
        <f>VLOOKUP($AE27,'Equipment &amp; Troop Q'!$F$3:$I$30,4,FALSE)</f>
        <v>0</v>
      </c>
      <c r="AI27" s="2" t="s">
        <v>101</v>
      </c>
      <c r="AJ27" s="2">
        <f>VLOOKUP($AI27,'Equipment &amp; Troop Q'!$F$3:$I$30,2,FALSE)</f>
        <v>0</v>
      </c>
      <c r="AK27" s="2">
        <f>VLOOKUP($AI27,'Equipment &amp; Troop Q'!$F$3:$I$30,3,FALSE)</f>
        <v>0</v>
      </c>
      <c r="AL27" s="2">
        <f>VLOOKUP($AI27,'Equipment &amp; Troop Q'!$F$3:$I$30,4,FALSE)</f>
        <v>0</v>
      </c>
    </row>
    <row r="28" spans="2:38" x14ac:dyDescent="0.2">
      <c r="B28" s="5" t="s">
        <v>101</v>
      </c>
      <c r="C28" s="43">
        <f>((((VLOOKUP($B28,'TL6-12 Elements'!$A$2:$I$67,2,FALSE))*L28)*M28)*(1+P28+T28+X28+AB28+AF28+AJ28))*N28</f>
        <v>0</v>
      </c>
      <c r="D28" s="43" t="str">
        <f>VLOOKUP($B28,'TL6-12 Elements'!$A$2:$I$67,3,FALSE)</f>
        <v>-</v>
      </c>
      <c r="E28" s="43">
        <f t="shared" si="0"/>
        <v>0</v>
      </c>
      <c r="F28" s="43" t="str">
        <f>VLOOKUP($B28,'TL6-12 Elements'!$A$2:$I$67,4,FALSE)</f>
        <v>-</v>
      </c>
      <c r="G28" s="43" t="str">
        <f>VLOOKUP($B28,'TL6-12 Elements'!$A$2:$I$67,5,FALSE)</f>
        <v>-</v>
      </c>
      <c r="H28" s="43" t="str">
        <f>VLOOKUP($B28,'TL6-12 Elements'!$A$2:$I$67,6,FALSE)</f>
        <v>-</v>
      </c>
      <c r="I28" s="45">
        <f>(((VLOOKUP($B28,'TL6-12 Elements'!$A$2:$I$67,7,FALSE))*M28)*(1+Q28+U28+Y28+AC28+AG28+AK28))*N28</f>
        <v>0</v>
      </c>
      <c r="J28" s="45">
        <f>(((VLOOKUP($B28,'TL6-12 Elements'!$A$2:$I$67,8,FALSE))*M28)*(1+R28+V28+Z28+AD28+AH28+AL28))*N28</f>
        <v>0</v>
      </c>
      <c r="K28" s="10">
        <v>7</v>
      </c>
      <c r="L28" s="10">
        <f>IF(VLOOKUP($B28,'TL6-12 Elements'!$A$2:$I$67,9,FALSE)-$K28=0,1,IF(VLOOKUP($B28,'TL6-12 Elements'!$A$2:$I$67,9,FALSE)-$K28=-1,2,IF(VLOOKUP($B28,'TL6-12 Elements'!$A$2:$I$67,9,FALSE)-$K28=-2,4,IF(VLOOKUP($B28,'TL6-12 Elements'!$A$2:$I$67,9,FALSE)-$K28=-3,8,IF(VLOOKUP($B28,'TL6-12 Elements'!$A$2:$I$67,9,FALSE)-$K28=-4,16,"Invalid")))))</f>
        <v>2</v>
      </c>
      <c r="M28" s="10">
        <v>1</v>
      </c>
      <c r="N28" s="44">
        <v>1</v>
      </c>
      <c r="O28" s="2" t="s">
        <v>138</v>
      </c>
      <c r="P28" s="2">
        <f>VLOOKUP(O28,'Equipment &amp; Troop Q'!$A$3:$D$7,2,FALSE)</f>
        <v>0</v>
      </c>
      <c r="Q28" s="2">
        <f>VLOOKUP($O28,'Equipment &amp; Troop Q'!$A$3:$D$7,3,FALSE)</f>
        <v>0</v>
      </c>
      <c r="R28" s="2">
        <f>VLOOKUP($O28,'Equipment &amp; Troop Q'!$A$3:$D$7,4,FALSE)</f>
        <v>0</v>
      </c>
      <c r="S28" s="2" t="s">
        <v>141</v>
      </c>
      <c r="T28" s="2">
        <f>VLOOKUP($S28,'Equipment &amp; Troop Q'!$A$13:$D$16,2,FALSE)</f>
        <v>0</v>
      </c>
      <c r="U28" s="2">
        <f>IF(OR(W28="Fanatic",AA28="Fanatic",AE28="Fanatic",AI28="Fanatic"),VLOOKUP($S28,'Equipment &amp; Troop Q'!$A$18:$D$19,3,FALSE),VLOOKUP($S28,'Equipment &amp; Troop Q'!$A$13:$D$16,3,FALSE))</f>
        <v>0</v>
      </c>
      <c r="V28" s="2">
        <f>VLOOKUP($S28,'Equipment &amp; Troop Q'!$A$13:$D$16,4,FALSE)</f>
        <v>0</v>
      </c>
      <c r="W28" s="2" t="s">
        <v>101</v>
      </c>
      <c r="X28" s="2">
        <f>VLOOKUP(W28,'Equipment &amp; Troop Q'!F$3:I$30,2,FALSE)</f>
        <v>0</v>
      </c>
      <c r="Y28" s="2">
        <f>VLOOKUP($W28,'Equipment &amp; Troop Q'!$F$3:$I$30,3,FALSE)</f>
        <v>0</v>
      </c>
      <c r="Z28" s="2">
        <f>VLOOKUP($W28,'Equipment &amp; Troop Q'!$F$3:$I$30,4,FALSE)</f>
        <v>0</v>
      </c>
      <c r="AA28" s="2" t="s">
        <v>101</v>
      </c>
      <c r="AB28" s="2">
        <f>VLOOKUP($AA28,'Equipment &amp; Troop Q'!$F$3:$I$30,2,FALSE)</f>
        <v>0</v>
      </c>
      <c r="AC28" s="2">
        <f>VLOOKUP($AA28,'Equipment &amp; Troop Q'!$F$3:$I$30,3,FALSE)</f>
        <v>0</v>
      </c>
      <c r="AD28" s="2">
        <f>VLOOKUP($AA28,'Equipment &amp; Troop Q'!$F$3:$I$30,4,FALSE)</f>
        <v>0</v>
      </c>
      <c r="AE28" s="2" t="s">
        <v>101</v>
      </c>
      <c r="AF28" s="2">
        <f>VLOOKUP($AE28,'Equipment &amp; Troop Q'!$F$3:$I$30,2,FALSE)</f>
        <v>0</v>
      </c>
      <c r="AG28" s="2">
        <f>VLOOKUP($AE28,'Equipment &amp; Troop Q'!$F$3:$I$30,3,FALSE)</f>
        <v>0</v>
      </c>
      <c r="AH28" s="2">
        <f>VLOOKUP($AE28,'Equipment &amp; Troop Q'!$F$3:$I$30,4,FALSE)</f>
        <v>0</v>
      </c>
      <c r="AI28" s="2" t="s">
        <v>101</v>
      </c>
      <c r="AJ28" s="2">
        <f>VLOOKUP($AI28,'Equipment &amp; Troop Q'!$F$3:$I$30,2,FALSE)</f>
        <v>0</v>
      </c>
      <c r="AK28" s="2">
        <f>VLOOKUP($AI28,'Equipment &amp; Troop Q'!$F$3:$I$30,3,FALSE)</f>
        <v>0</v>
      </c>
      <c r="AL28" s="2">
        <f>VLOOKUP($AI28,'Equipment &amp; Troop Q'!$F$3:$I$30,4,FALSE)</f>
        <v>0</v>
      </c>
    </row>
    <row r="29" spans="2:38" x14ac:dyDescent="0.2">
      <c r="B29" s="5" t="s">
        <v>101</v>
      </c>
      <c r="C29" s="43">
        <f>((((VLOOKUP($B29,'TL6-12 Elements'!$A$2:$I$67,2,FALSE))*L29)*M29)*(1+P29+T29+X29+AB29+AF29+AJ29))*N29</f>
        <v>0</v>
      </c>
      <c r="D29" s="43" t="str">
        <f>VLOOKUP($B29,'TL6-12 Elements'!$A$2:$I$67,3,FALSE)</f>
        <v>-</v>
      </c>
      <c r="E29" s="43">
        <f t="shared" si="0"/>
        <v>0</v>
      </c>
      <c r="F29" s="43" t="str">
        <f>VLOOKUP($B29,'TL6-12 Elements'!$A$2:$I$67,4,FALSE)</f>
        <v>-</v>
      </c>
      <c r="G29" s="43" t="str">
        <f>VLOOKUP($B29,'TL6-12 Elements'!$A$2:$I$67,5,FALSE)</f>
        <v>-</v>
      </c>
      <c r="H29" s="43" t="str">
        <f>VLOOKUP($B29,'TL6-12 Elements'!$A$2:$I$67,6,FALSE)</f>
        <v>-</v>
      </c>
      <c r="I29" s="45">
        <f>(((VLOOKUP($B29,'TL6-12 Elements'!$A$2:$I$67,7,FALSE))*M29)*(1+Q29+U29+Y29+AC29+AG29+AK29))*N29</f>
        <v>0</v>
      </c>
      <c r="J29" s="45">
        <f>(((VLOOKUP($B29,'TL6-12 Elements'!$A$2:$I$67,8,FALSE))*M29)*(1+R29+V29+Z29+AD29+AH29+AL29))*N29</f>
        <v>0</v>
      </c>
      <c r="K29" s="10">
        <v>7</v>
      </c>
      <c r="L29" s="10">
        <f>IF(VLOOKUP($B29,'TL6-12 Elements'!$A$2:$I$67,9,FALSE)-$K29=0,1,IF(VLOOKUP($B29,'TL6-12 Elements'!$A$2:$I$67,9,FALSE)-$K29=-1,2,IF(VLOOKUP($B29,'TL6-12 Elements'!$A$2:$I$67,9,FALSE)-$K29=-2,4,IF(VLOOKUP($B29,'TL6-12 Elements'!$A$2:$I$67,9,FALSE)-$K29=-3,8,IF(VLOOKUP($B29,'TL6-12 Elements'!$A$2:$I$67,9,FALSE)-$K29=-4,16,"Invalid")))))</f>
        <v>2</v>
      </c>
      <c r="M29" s="10">
        <v>1</v>
      </c>
      <c r="N29" s="44">
        <v>1</v>
      </c>
      <c r="O29" s="2" t="s">
        <v>138</v>
      </c>
      <c r="P29" s="2">
        <f>VLOOKUP(O29,'Equipment &amp; Troop Q'!$A$3:$D$7,2,FALSE)</f>
        <v>0</v>
      </c>
      <c r="Q29" s="2">
        <f>VLOOKUP($O29,'Equipment &amp; Troop Q'!$A$3:$D$7,3,FALSE)</f>
        <v>0</v>
      </c>
      <c r="R29" s="2">
        <f>VLOOKUP($O29,'Equipment &amp; Troop Q'!$A$3:$D$7,4,FALSE)</f>
        <v>0</v>
      </c>
      <c r="S29" s="2" t="s">
        <v>141</v>
      </c>
      <c r="T29" s="2">
        <f>VLOOKUP($S29,'Equipment &amp; Troop Q'!$A$13:$D$16,2,FALSE)</f>
        <v>0</v>
      </c>
      <c r="U29" s="2">
        <f>IF(OR(W29="Fanatic",AA29="Fanatic",AE29="Fanatic",AI29="Fanatic"),VLOOKUP($S29,'Equipment &amp; Troop Q'!$A$18:$D$19,3,FALSE),VLOOKUP($S29,'Equipment &amp; Troop Q'!$A$13:$D$16,3,FALSE))</f>
        <v>0</v>
      </c>
      <c r="V29" s="2">
        <f>VLOOKUP($S29,'Equipment &amp; Troop Q'!$A$13:$D$16,4,FALSE)</f>
        <v>0</v>
      </c>
      <c r="W29" s="2" t="s">
        <v>101</v>
      </c>
      <c r="X29" s="2">
        <f>VLOOKUP(W29,'Equipment &amp; Troop Q'!F$3:I$30,2,FALSE)</f>
        <v>0</v>
      </c>
      <c r="Y29" s="2">
        <f>VLOOKUP($W29,'Equipment &amp; Troop Q'!$F$3:$I$30,3,FALSE)</f>
        <v>0</v>
      </c>
      <c r="Z29" s="2">
        <f>VLOOKUP($W29,'Equipment &amp; Troop Q'!$F$3:$I$30,4,FALSE)</f>
        <v>0</v>
      </c>
      <c r="AA29" s="2" t="s">
        <v>101</v>
      </c>
      <c r="AB29" s="2">
        <f>VLOOKUP($AA29,'Equipment &amp; Troop Q'!$F$3:$I$30,2,FALSE)</f>
        <v>0</v>
      </c>
      <c r="AC29" s="2">
        <f>VLOOKUP($AA29,'Equipment &amp; Troop Q'!$F$3:$I$30,3,FALSE)</f>
        <v>0</v>
      </c>
      <c r="AD29" s="2">
        <f>VLOOKUP($AA29,'Equipment &amp; Troop Q'!$F$3:$I$30,4,FALSE)</f>
        <v>0</v>
      </c>
      <c r="AE29" s="2" t="s">
        <v>101</v>
      </c>
      <c r="AF29" s="2">
        <f>VLOOKUP($AE29,'Equipment &amp; Troop Q'!$F$3:$I$30,2,FALSE)</f>
        <v>0</v>
      </c>
      <c r="AG29" s="2">
        <f>VLOOKUP($AE29,'Equipment &amp; Troop Q'!$F$3:$I$30,3,FALSE)</f>
        <v>0</v>
      </c>
      <c r="AH29" s="2">
        <f>VLOOKUP($AE29,'Equipment &amp; Troop Q'!$F$3:$I$30,4,FALSE)</f>
        <v>0</v>
      </c>
      <c r="AI29" s="2" t="s">
        <v>101</v>
      </c>
      <c r="AJ29" s="2">
        <f>VLOOKUP($AI29,'Equipment &amp; Troop Q'!$F$3:$I$30,2,FALSE)</f>
        <v>0</v>
      </c>
      <c r="AK29" s="2">
        <f>VLOOKUP($AI29,'Equipment &amp; Troop Q'!$F$3:$I$30,3,FALSE)</f>
        <v>0</v>
      </c>
      <c r="AL29" s="2">
        <f>VLOOKUP($AI29,'Equipment &amp; Troop Q'!$F$3:$I$30,4,FALSE)</f>
        <v>0</v>
      </c>
    </row>
    <row r="30" spans="2:38" x14ac:dyDescent="0.2">
      <c r="B30" s="5" t="s">
        <v>101</v>
      </c>
      <c r="C30" s="43">
        <f>((((VLOOKUP($B30,'TL6-12 Elements'!$A$2:$I$67,2,FALSE))*L30)*M30)*(1+P30+T30+X30+AB30+AF30+AJ30))*N30</f>
        <v>0</v>
      </c>
      <c r="D30" s="43" t="str">
        <f>VLOOKUP($B30,'TL6-12 Elements'!$A$2:$I$67,3,FALSE)</f>
        <v>-</v>
      </c>
      <c r="E30" s="43">
        <f t="shared" si="0"/>
        <v>0</v>
      </c>
      <c r="F30" s="43" t="str">
        <f>VLOOKUP($B30,'TL6-12 Elements'!$A$2:$I$67,4,FALSE)</f>
        <v>-</v>
      </c>
      <c r="G30" s="43" t="str">
        <f>VLOOKUP($B30,'TL6-12 Elements'!$A$2:$I$67,5,FALSE)</f>
        <v>-</v>
      </c>
      <c r="H30" s="43" t="str">
        <f>VLOOKUP($B30,'TL6-12 Elements'!$A$2:$I$67,6,FALSE)</f>
        <v>-</v>
      </c>
      <c r="I30" s="45">
        <f>(((VLOOKUP($B30,'TL6-12 Elements'!$A$2:$I$67,7,FALSE))*M30)*(1+Q30+U30+Y30+AC30+AG30+AK30))*N30</f>
        <v>0</v>
      </c>
      <c r="J30" s="45">
        <f>(((VLOOKUP($B30,'TL6-12 Elements'!$A$2:$I$67,8,FALSE))*M30)*(1+R30+V30+Z30+AD30+AH30+AL30))*N30</f>
        <v>0</v>
      </c>
      <c r="K30" s="10">
        <v>7</v>
      </c>
      <c r="L30" s="10">
        <f>IF(VLOOKUP($B30,'TL6-12 Elements'!$A$2:$I$67,9,FALSE)-$K30=0,1,IF(VLOOKUP($B30,'TL6-12 Elements'!$A$2:$I$67,9,FALSE)-$K30=-1,2,IF(VLOOKUP($B30,'TL6-12 Elements'!$A$2:$I$67,9,FALSE)-$K30=-2,4,IF(VLOOKUP($B30,'TL6-12 Elements'!$A$2:$I$67,9,FALSE)-$K30=-3,8,IF(VLOOKUP($B30,'TL6-12 Elements'!$A$2:$I$67,9,FALSE)-$K30=-4,16,"Invalid")))))</f>
        <v>2</v>
      </c>
      <c r="M30" s="10">
        <v>1</v>
      </c>
      <c r="N30" s="44">
        <v>1</v>
      </c>
      <c r="O30" s="2" t="s">
        <v>138</v>
      </c>
      <c r="P30" s="2">
        <f>VLOOKUP(O30,'Equipment &amp; Troop Q'!$A$3:$D$7,2,FALSE)</f>
        <v>0</v>
      </c>
      <c r="Q30" s="2">
        <f>VLOOKUP($O30,'Equipment &amp; Troop Q'!$A$3:$D$7,3,FALSE)</f>
        <v>0</v>
      </c>
      <c r="R30" s="2">
        <f>VLOOKUP($O30,'Equipment &amp; Troop Q'!$A$3:$D$7,4,FALSE)</f>
        <v>0</v>
      </c>
      <c r="S30" s="2" t="s">
        <v>141</v>
      </c>
      <c r="T30" s="2">
        <f>VLOOKUP($S30,'Equipment &amp; Troop Q'!$A$13:$D$16,2,FALSE)</f>
        <v>0</v>
      </c>
      <c r="U30" s="2">
        <f>IF(OR(W30="Fanatic",AA30="Fanatic",AE30="Fanatic",AI30="Fanatic"),VLOOKUP($S30,'Equipment &amp; Troop Q'!$A$18:$D$19,3,FALSE),VLOOKUP($S30,'Equipment &amp; Troop Q'!$A$13:$D$16,3,FALSE))</f>
        <v>0</v>
      </c>
      <c r="V30" s="2">
        <f>VLOOKUP($S30,'Equipment &amp; Troop Q'!$A$13:$D$16,4,FALSE)</f>
        <v>0</v>
      </c>
      <c r="W30" s="2" t="s">
        <v>101</v>
      </c>
      <c r="X30" s="2">
        <f>VLOOKUP(W30,'Equipment &amp; Troop Q'!F$3:I$30,2,FALSE)</f>
        <v>0</v>
      </c>
      <c r="Y30" s="2">
        <f>VLOOKUP($W30,'Equipment &amp; Troop Q'!$F$3:$I$30,3,FALSE)</f>
        <v>0</v>
      </c>
      <c r="Z30" s="2">
        <f>VLOOKUP($W30,'Equipment &amp; Troop Q'!$F$3:$I$30,4,FALSE)</f>
        <v>0</v>
      </c>
      <c r="AA30" s="2" t="s">
        <v>101</v>
      </c>
      <c r="AB30" s="2">
        <f>VLOOKUP($AA30,'Equipment &amp; Troop Q'!$F$3:$I$30,2,FALSE)</f>
        <v>0</v>
      </c>
      <c r="AC30" s="2">
        <f>VLOOKUP($AA30,'Equipment &amp; Troop Q'!$F$3:$I$30,3,FALSE)</f>
        <v>0</v>
      </c>
      <c r="AD30" s="2">
        <f>VLOOKUP($AA30,'Equipment &amp; Troop Q'!$F$3:$I$30,4,FALSE)</f>
        <v>0</v>
      </c>
      <c r="AE30" s="2" t="s">
        <v>101</v>
      </c>
      <c r="AF30" s="2">
        <f>VLOOKUP($AE30,'Equipment &amp; Troop Q'!$F$3:$I$30,2,FALSE)</f>
        <v>0</v>
      </c>
      <c r="AG30" s="2">
        <f>VLOOKUP($AE30,'Equipment &amp; Troop Q'!$F$3:$I$30,3,FALSE)</f>
        <v>0</v>
      </c>
      <c r="AH30" s="2">
        <f>VLOOKUP($AE30,'Equipment &amp; Troop Q'!$F$3:$I$30,4,FALSE)</f>
        <v>0</v>
      </c>
      <c r="AI30" s="2" t="s">
        <v>101</v>
      </c>
      <c r="AJ30" s="2">
        <f>VLOOKUP($AI30,'Equipment &amp; Troop Q'!$F$3:$I$30,2,FALSE)</f>
        <v>0</v>
      </c>
      <c r="AK30" s="2">
        <f>VLOOKUP($AI30,'Equipment &amp; Troop Q'!$F$3:$I$30,3,FALSE)</f>
        <v>0</v>
      </c>
      <c r="AL30" s="2">
        <f>VLOOKUP($AI30,'Equipment &amp; Troop Q'!$F$3:$I$30,4,FALSE)</f>
        <v>0</v>
      </c>
    </row>
    <row r="31" spans="2:38" x14ac:dyDescent="0.2">
      <c r="B31" s="5" t="s">
        <v>101</v>
      </c>
      <c r="C31" s="43">
        <f>((((VLOOKUP($B31,'TL6-12 Elements'!$A$2:$I$67,2,FALSE))*L31)*M31)*(1+P31+T31+X31+AB31+AF31+AJ31))*N31</f>
        <v>0</v>
      </c>
      <c r="D31" s="43" t="str">
        <f>VLOOKUP($B31,'TL6-12 Elements'!$A$2:$I$67,3,FALSE)</f>
        <v>-</v>
      </c>
      <c r="E31" s="43">
        <f t="shared" si="0"/>
        <v>0</v>
      </c>
      <c r="F31" s="43" t="str">
        <f>VLOOKUP($B31,'TL6-12 Elements'!$A$2:$I$67,4,FALSE)</f>
        <v>-</v>
      </c>
      <c r="G31" s="43" t="str">
        <f>VLOOKUP($B31,'TL6-12 Elements'!$A$2:$I$67,5,FALSE)</f>
        <v>-</v>
      </c>
      <c r="H31" s="43" t="str">
        <f>VLOOKUP($B31,'TL6-12 Elements'!$A$2:$I$67,6,FALSE)</f>
        <v>-</v>
      </c>
      <c r="I31" s="45">
        <f>(((VLOOKUP($B31,'TL6-12 Elements'!$A$2:$I$67,7,FALSE))*M31)*(1+Q31+U31+Y31+AC31+AG31+AK31))*N31</f>
        <v>0</v>
      </c>
      <c r="J31" s="45">
        <f>(((VLOOKUP($B31,'TL6-12 Elements'!$A$2:$I$67,8,FALSE))*M31)*(1+R31+V31+Z31+AD31+AH31+AL31))*N31</f>
        <v>0</v>
      </c>
      <c r="K31" s="10">
        <v>7</v>
      </c>
      <c r="L31" s="10">
        <f>IF(VLOOKUP($B31,'TL6-12 Elements'!$A$2:$I$67,9,FALSE)-$K31=0,1,IF(VLOOKUP($B31,'TL6-12 Elements'!$A$2:$I$67,9,FALSE)-$K31=-1,2,IF(VLOOKUP($B31,'TL6-12 Elements'!$A$2:$I$67,9,FALSE)-$K31=-2,4,IF(VLOOKUP($B31,'TL6-12 Elements'!$A$2:$I$67,9,FALSE)-$K31=-3,8,IF(VLOOKUP($B31,'TL6-12 Elements'!$A$2:$I$67,9,FALSE)-$K31=-4,16,"Invalid")))))</f>
        <v>2</v>
      </c>
      <c r="M31" s="10">
        <v>1</v>
      </c>
      <c r="N31" s="44">
        <v>1</v>
      </c>
      <c r="O31" s="2" t="s">
        <v>138</v>
      </c>
      <c r="P31" s="2">
        <f>VLOOKUP(O31,'Equipment &amp; Troop Q'!$A$3:$D$7,2,FALSE)</f>
        <v>0</v>
      </c>
      <c r="Q31" s="2">
        <f>VLOOKUP($O31,'Equipment &amp; Troop Q'!$A$3:$D$7,3,FALSE)</f>
        <v>0</v>
      </c>
      <c r="R31" s="2">
        <f>VLOOKUP($O31,'Equipment &amp; Troop Q'!$A$3:$D$7,4,FALSE)</f>
        <v>0</v>
      </c>
      <c r="S31" s="2" t="s">
        <v>141</v>
      </c>
      <c r="T31" s="2">
        <f>VLOOKUP($S31,'Equipment &amp; Troop Q'!$A$13:$D$16,2,FALSE)</f>
        <v>0</v>
      </c>
      <c r="U31" s="2">
        <f>IF(OR(W31="Fanatic",AA31="Fanatic",AE31="Fanatic",AI31="Fanatic"),VLOOKUP($S31,'Equipment &amp; Troop Q'!$A$18:$D$19,3,FALSE),VLOOKUP($S31,'Equipment &amp; Troop Q'!$A$13:$D$16,3,FALSE))</f>
        <v>0</v>
      </c>
      <c r="V31" s="2">
        <f>VLOOKUP($S31,'Equipment &amp; Troop Q'!$A$13:$D$16,4,FALSE)</f>
        <v>0</v>
      </c>
      <c r="W31" s="2" t="s">
        <v>101</v>
      </c>
      <c r="X31" s="2">
        <f>VLOOKUP(W31,'Equipment &amp; Troop Q'!F$3:I$30,2,FALSE)</f>
        <v>0</v>
      </c>
      <c r="Y31" s="2">
        <f>VLOOKUP($W31,'Equipment &amp; Troop Q'!$F$3:$I$30,3,FALSE)</f>
        <v>0</v>
      </c>
      <c r="Z31" s="2">
        <f>VLOOKUP($W31,'Equipment &amp; Troop Q'!$F$3:$I$30,4,FALSE)</f>
        <v>0</v>
      </c>
      <c r="AA31" s="2" t="s">
        <v>101</v>
      </c>
      <c r="AB31" s="2">
        <f>VLOOKUP($AA31,'Equipment &amp; Troop Q'!$F$3:$I$30,2,FALSE)</f>
        <v>0</v>
      </c>
      <c r="AC31" s="2">
        <f>VLOOKUP($AA31,'Equipment &amp; Troop Q'!$F$3:$I$30,3,FALSE)</f>
        <v>0</v>
      </c>
      <c r="AD31" s="2">
        <f>VLOOKUP($AA31,'Equipment &amp; Troop Q'!$F$3:$I$30,4,FALSE)</f>
        <v>0</v>
      </c>
      <c r="AE31" s="2" t="s">
        <v>101</v>
      </c>
      <c r="AF31" s="2">
        <f>VLOOKUP($AE31,'Equipment &amp; Troop Q'!$F$3:$I$30,2,FALSE)</f>
        <v>0</v>
      </c>
      <c r="AG31" s="2">
        <f>VLOOKUP($AE31,'Equipment &amp; Troop Q'!$F$3:$I$30,3,FALSE)</f>
        <v>0</v>
      </c>
      <c r="AH31" s="2">
        <f>VLOOKUP($AE31,'Equipment &amp; Troop Q'!$F$3:$I$30,4,FALSE)</f>
        <v>0</v>
      </c>
      <c r="AI31" s="2" t="s">
        <v>101</v>
      </c>
      <c r="AJ31" s="2">
        <f>VLOOKUP($AI31,'Equipment &amp; Troop Q'!$F$3:$I$30,2,FALSE)</f>
        <v>0</v>
      </c>
      <c r="AK31" s="2">
        <f>VLOOKUP($AI31,'Equipment &amp; Troop Q'!$F$3:$I$30,3,FALSE)</f>
        <v>0</v>
      </c>
      <c r="AL31" s="2">
        <f>VLOOKUP($AI31,'Equipment &amp; Troop Q'!$F$3:$I$30,4,FALSE)</f>
        <v>0</v>
      </c>
    </row>
    <row r="34" spans="2:10" x14ac:dyDescent="0.2">
      <c r="B34" s="3" t="s">
        <v>144</v>
      </c>
      <c r="C34" s="16">
        <f>SUM(I3:I31)</f>
        <v>63500</v>
      </c>
      <c r="D34" s="16"/>
      <c r="E34" s="16"/>
      <c r="I34" s="40" t="s">
        <v>357</v>
      </c>
      <c r="J34" s="41">
        <f>C35/1000</f>
        <v>12.7</v>
      </c>
    </row>
    <row r="35" spans="2:10" x14ac:dyDescent="0.2">
      <c r="B35" s="3" t="s">
        <v>145</v>
      </c>
      <c r="C35" s="16">
        <f>SUM(J3:J31)</f>
        <v>12700</v>
      </c>
      <c r="D35" s="16"/>
      <c r="E35" s="16"/>
      <c r="I35" s="40" t="s">
        <v>358</v>
      </c>
      <c r="J35" s="16">
        <f>J34*5000</f>
        <v>63500</v>
      </c>
    </row>
    <row r="36" spans="2:10" x14ac:dyDescent="0.2">
      <c r="B36" s="3" t="s">
        <v>146</v>
      </c>
      <c r="C36" s="39">
        <f>(SUMIF(D3:D31,0,C3:C31)+(SUMIF(D3:D31,1,C3:C31)*0.1))+SUM(E3:E31)</f>
        <v>118.5</v>
      </c>
      <c r="I36" s="40" t="s">
        <v>359</v>
      </c>
      <c r="J36" s="16">
        <f>J35*0.1</f>
        <v>6350</v>
      </c>
    </row>
    <row r="37" spans="2:10" x14ac:dyDescent="0.2">
      <c r="B37" s="3" t="s">
        <v>147</v>
      </c>
      <c r="C37" s="39">
        <f ca="1">(SUMIF(F3:F31,"*F*",C3:C31)+SUMIF(W3:AI31,"*F*",C3:C31))-G37</f>
        <v>141</v>
      </c>
      <c r="F37" s="1" t="s">
        <v>364</v>
      </c>
      <c r="G37" s="39">
        <f ca="1">SUMIF($F$3:$F$31,"*(F)*",$C$3:$C$31)+SUMIF($W$3:$AI$31,"*(F)*",$C$3:$C$31)</f>
        <v>0</v>
      </c>
    </row>
    <row r="38" spans="2:10" x14ac:dyDescent="0.2">
      <c r="B38" s="3" t="s">
        <v>148</v>
      </c>
      <c r="C38" s="39">
        <f ca="1">(SUMIF(F3:F31,"*Cv*",C3:C31)+SUMIF(W3:AI31,"*Cv*",C3:C31))-G38</f>
        <v>0</v>
      </c>
      <c r="F38" s="1" t="s">
        <v>365</v>
      </c>
      <c r="G38" s="39">
        <f ca="1">SUMIF($F$3:$F$31,"*(Cv)*",$C$3:$C$31)+SUMIF($W$3:$AI$31,"*(Cv)*",$C$3:$C$31)</f>
        <v>0</v>
      </c>
    </row>
    <row r="39" spans="2:10" x14ac:dyDescent="0.2">
      <c r="B39" s="3" t="s">
        <v>149</v>
      </c>
      <c r="C39" s="39">
        <f ca="1">(SUMIF(F3:F31,"*Arm*",C3:C31)+SUMIF(W3:AI31,"*Arm*",C3:C31))-G39</f>
        <v>0</v>
      </c>
      <c r="F39" s="1" t="s">
        <v>366</v>
      </c>
      <c r="G39" s="39">
        <f ca="1">SUMIF($F$3:$F$31,"*(Arm)*",$C$3:$C$31)+SUMIF($W$3:$AI$31,"*(Arm)*",$C$3:$C$31)</f>
        <v>0</v>
      </c>
    </row>
    <row r="40" spans="2:10" x14ac:dyDescent="0.2">
      <c r="B40" s="3" t="s">
        <v>150</v>
      </c>
      <c r="C40" s="39">
        <f ca="1">(SUMIF(F3:F31,"*Air*",C3:C31)+SUMIF(W3:AI31,"*Air*",C3:C31))-G40</f>
        <v>0</v>
      </c>
      <c r="F40" s="1" t="s">
        <v>62</v>
      </c>
      <c r="G40" s="39">
        <f ca="1">SUMIF($F$3:$F$31,"*(Air)*",$C$3:$C$31)+SUMIF($W$3:$AI$31,"*(Air)*",$C$3:$C$31)</f>
        <v>0</v>
      </c>
      <c r="I40" s="40" t="s">
        <v>360</v>
      </c>
      <c r="J40" s="16">
        <f>J35+C34</f>
        <v>127000</v>
      </c>
    </row>
    <row r="41" spans="2:10" x14ac:dyDescent="0.2">
      <c r="B41" s="3" t="s">
        <v>151</v>
      </c>
      <c r="C41" s="39">
        <f ca="1">(SUMIF(F3:F31,"*Art*",C3:C31)+SUMIF(W3:AI31,"*Art*",C3:C31))-G41</f>
        <v>0</v>
      </c>
      <c r="F41" s="1" t="s">
        <v>367</v>
      </c>
      <c r="G41" s="39">
        <f ca="1">SUMIF($F$3:$F$31,"*(Art)*",$C$3:$C$31)+SUMIF($W$3:$AI$31,"*(Art)*",$C$3:$C$31)</f>
        <v>0</v>
      </c>
      <c r="I41" s="40" t="s">
        <v>361</v>
      </c>
      <c r="J41" s="16">
        <f>J36+C35</f>
        <v>19050</v>
      </c>
    </row>
    <row r="42" spans="2:10" x14ac:dyDescent="0.2">
      <c r="B42" s="3" t="s">
        <v>152</v>
      </c>
      <c r="C42" s="39">
        <f ca="1">(SUMIF(F3:F31,"*Nav*",C3:C31)+SUMIF(W3:AI31,"*Nav*",C3:C31))-G42</f>
        <v>0</v>
      </c>
      <c r="F42" s="1" t="s">
        <v>368</v>
      </c>
      <c r="G42" s="39">
        <f ca="1">SUMIF($F$3:$F$31,"*(Nav)*",$C$3:$C$31)+SUMIF($W$3:$AI$31,"*(Nav)*",$C$3:$C$31)</f>
        <v>0</v>
      </c>
    </row>
    <row r="43" spans="2:10" x14ac:dyDescent="0.2">
      <c r="B43" s="3" t="s">
        <v>153</v>
      </c>
      <c r="C43" s="39">
        <f ca="1">(SUMIF(F3:F31,"*Eng*",C3:C31)+SUMIF(W3:AI31,"*Eng*",C3:C31))-G43</f>
        <v>0</v>
      </c>
      <c r="F43" s="1" t="s">
        <v>369</v>
      </c>
      <c r="G43" s="39">
        <f ca="1">SUMIF($F$3:$F$31,"*(Eng)*",$C$3:$C$31)+SUMIF($W$3:$AI$31,"*(Eng)*",$C$3:$C$31)</f>
        <v>0</v>
      </c>
    </row>
    <row r="44" spans="2:10" x14ac:dyDescent="0.2">
      <c r="B44" s="3" t="s">
        <v>154</v>
      </c>
      <c r="C44" s="39">
        <f ca="1">(SUMIF($F$3:$F$31,"*C3I*",$C$3:$C$31)+SUMIF($W$3:$AI$31,"*C3I*",$C$3:$C$31))-G44</f>
        <v>0</v>
      </c>
      <c r="F44" s="1" t="s">
        <v>370</v>
      </c>
      <c r="G44" s="39">
        <f ca="1">SUMIF($F$3:$F$31,"*(C3I)*",$C$3:$C$31)+SUMIF($W$3:$AI$31,"*(C3I)*",$C$3:$C$31)</f>
        <v>0</v>
      </c>
    </row>
    <row r="45" spans="2:10" x14ac:dyDescent="0.2">
      <c r="B45" s="3" t="s">
        <v>166</v>
      </c>
      <c r="C45" s="39">
        <f>SUMIF($F$3:$F$31,"*Rec*",$C$3:$C$31)</f>
        <v>116</v>
      </c>
      <c r="G45" s="4"/>
    </row>
    <row r="71" spans="2:18" x14ac:dyDescent="0.2">
      <c r="B71" s="6"/>
      <c r="C71" s="9"/>
      <c r="D71" s="9"/>
      <c r="E71" s="9"/>
      <c r="F71" s="7"/>
      <c r="G71" s="7"/>
      <c r="H71" s="7"/>
      <c r="I71" s="17"/>
      <c r="J71" s="17"/>
      <c r="K71" s="7"/>
      <c r="L71" s="7"/>
      <c r="O71" s="13"/>
      <c r="P71" s="13"/>
      <c r="Q71" s="13"/>
      <c r="R71" s="13"/>
    </row>
    <row r="72" spans="2:18" x14ac:dyDescent="0.2">
      <c r="C72" s="4"/>
      <c r="D72" s="4"/>
      <c r="E72" s="4"/>
      <c r="I72" s="18"/>
      <c r="J72" s="19"/>
      <c r="K72" s="4"/>
      <c r="O72" s="13"/>
      <c r="P72" s="13"/>
      <c r="Q72" s="13"/>
      <c r="R72" s="13"/>
    </row>
    <row r="73" spans="2:18" x14ac:dyDescent="0.2">
      <c r="C73" s="4"/>
      <c r="D73" s="4"/>
      <c r="E73" s="4"/>
      <c r="I73" s="18"/>
      <c r="J73" s="19"/>
      <c r="K73" s="4"/>
      <c r="O73" s="12"/>
      <c r="P73"/>
      <c r="Q73"/>
      <c r="R73"/>
    </row>
    <row r="74" spans="2:18" hidden="1" x14ac:dyDescent="0.2">
      <c r="B74" s="5" t="s">
        <v>356</v>
      </c>
      <c r="C74" s="4"/>
      <c r="D74" s="4"/>
      <c r="E74" s="4"/>
      <c r="I74" s="18"/>
      <c r="J74" s="19"/>
      <c r="K74" s="4"/>
      <c r="O74" s="12"/>
      <c r="P74"/>
      <c r="Q74"/>
      <c r="R74"/>
    </row>
    <row r="75" spans="2:18" hidden="1" x14ac:dyDescent="0.2">
      <c r="B75" s="11" t="s">
        <v>101</v>
      </c>
      <c r="C75" s="4" t="s">
        <v>8</v>
      </c>
      <c r="D75" s="4"/>
      <c r="E75" s="4"/>
      <c r="F75" s="2" t="s">
        <v>167</v>
      </c>
      <c r="I75" s="18"/>
      <c r="J75" s="19"/>
      <c r="K75" s="4"/>
      <c r="O75" s="12"/>
      <c r="P75"/>
      <c r="Q75"/>
      <c r="R75"/>
    </row>
    <row r="76" spans="2:18" hidden="1" x14ac:dyDescent="0.2">
      <c r="B76" s="5" t="s">
        <v>23</v>
      </c>
      <c r="C76" s="4" t="s">
        <v>132</v>
      </c>
      <c r="D76" s="4"/>
      <c r="E76" s="4"/>
      <c r="F76" s="2" t="s">
        <v>132</v>
      </c>
      <c r="I76" s="18"/>
      <c r="J76" s="19"/>
      <c r="K76" s="4"/>
      <c r="O76" s="12"/>
      <c r="P76"/>
      <c r="Q76"/>
      <c r="R76"/>
    </row>
    <row r="77" spans="2:18" hidden="1" x14ac:dyDescent="0.2">
      <c r="B77" s="5" t="s">
        <v>25</v>
      </c>
      <c r="C77" s="4" t="s">
        <v>135</v>
      </c>
      <c r="D77" s="4"/>
      <c r="E77" s="4"/>
      <c r="F77" s="2" t="s">
        <v>168</v>
      </c>
      <c r="I77" s="18"/>
      <c r="J77" s="19"/>
      <c r="K77" s="4"/>
      <c r="O77" s="12"/>
      <c r="P77"/>
      <c r="Q77"/>
      <c r="R77"/>
    </row>
    <row r="78" spans="2:18" hidden="1" x14ac:dyDescent="0.2">
      <c r="B78" s="5" t="s">
        <v>28</v>
      </c>
      <c r="C78" s="4" t="s">
        <v>136</v>
      </c>
      <c r="D78" s="4"/>
      <c r="E78" s="4"/>
      <c r="F78" s="2" t="s">
        <v>169</v>
      </c>
      <c r="I78" s="18"/>
      <c r="J78" s="19"/>
      <c r="K78" s="4"/>
      <c r="O78"/>
      <c r="P78"/>
      <c r="Q78"/>
      <c r="R78"/>
    </row>
    <row r="79" spans="2:18" hidden="1" x14ac:dyDescent="0.2">
      <c r="B79" s="5" t="s">
        <v>30</v>
      </c>
      <c r="C79" s="4" t="s">
        <v>137</v>
      </c>
      <c r="D79" s="4"/>
      <c r="E79" s="4"/>
      <c r="F79" s="2" t="s">
        <v>170</v>
      </c>
      <c r="I79" s="18"/>
      <c r="J79" s="19"/>
      <c r="K79" s="4"/>
      <c r="O79"/>
      <c r="P79"/>
      <c r="Q79"/>
      <c r="R79"/>
    </row>
    <row r="80" spans="2:18" hidden="1" x14ac:dyDescent="0.2">
      <c r="B80" s="5" t="s">
        <v>32</v>
      </c>
      <c r="C80" s="4" t="s">
        <v>138</v>
      </c>
      <c r="D80" s="4"/>
      <c r="E80" s="4"/>
      <c r="F80" s="2" t="s">
        <v>171</v>
      </c>
      <c r="I80" s="18"/>
      <c r="J80" s="19"/>
      <c r="K80" s="4"/>
      <c r="O80"/>
      <c r="P80"/>
      <c r="Q80"/>
      <c r="R80"/>
    </row>
    <row r="81" spans="2:18" hidden="1" x14ac:dyDescent="0.2">
      <c r="B81" s="5" t="s">
        <v>33</v>
      </c>
      <c r="C81" s="4" t="s">
        <v>139</v>
      </c>
      <c r="D81" s="4"/>
      <c r="E81" s="4"/>
      <c r="F81" s="2" t="s">
        <v>172</v>
      </c>
      <c r="I81" s="18"/>
      <c r="J81" s="19"/>
      <c r="K81" s="4"/>
      <c r="O81" s="13"/>
      <c r="P81"/>
      <c r="Q81"/>
      <c r="R81"/>
    </row>
    <row r="82" spans="2:18" hidden="1" x14ac:dyDescent="0.2">
      <c r="B82" s="5" t="s">
        <v>35</v>
      </c>
      <c r="C82" s="4"/>
      <c r="D82" s="4"/>
      <c r="E82" s="4"/>
      <c r="F82" s="2" t="s">
        <v>173</v>
      </c>
      <c r="I82" s="18"/>
      <c r="J82" s="19"/>
      <c r="K82" s="4"/>
      <c r="O82" s="13"/>
      <c r="P82" s="13"/>
      <c r="Q82" s="13"/>
      <c r="R82" s="13"/>
    </row>
    <row r="83" spans="2:18" hidden="1" x14ac:dyDescent="0.2">
      <c r="B83" s="5" t="s">
        <v>37</v>
      </c>
      <c r="C83" s="4"/>
      <c r="D83" s="4"/>
      <c r="E83" s="4"/>
      <c r="F83" s="2" t="s">
        <v>174</v>
      </c>
      <c r="I83" s="18"/>
      <c r="J83" s="19"/>
      <c r="K83" s="4"/>
      <c r="O83" s="12"/>
      <c r="P83"/>
      <c r="Q83"/>
      <c r="R83"/>
    </row>
    <row r="84" spans="2:18" hidden="1" x14ac:dyDescent="0.2">
      <c r="B84" s="5" t="s">
        <v>39</v>
      </c>
      <c r="C84" s="4"/>
      <c r="D84" s="4"/>
      <c r="E84" s="4"/>
      <c r="F84" s="2" t="s">
        <v>175</v>
      </c>
      <c r="I84" s="18"/>
      <c r="J84" s="19"/>
      <c r="K84" s="4"/>
      <c r="O84" s="12"/>
      <c r="P84"/>
      <c r="Q84"/>
      <c r="R84"/>
    </row>
    <row r="85" spans="2:18" hidden="1" x14ac:dyDescent="0.2">
      <c r="B85" s="5" t="s">
        <v>41</v>
      </c>
      <c r="C85" s="4" t="s">
        <v>9</v>
      </c>
      <c r="D85" s="4"/>
      <c r="E85" s="4"/>
      <c r="F85" s="2" t="s">
        <v>176</v>
      </c>
      <c r="I85" s="18"/>
      <c r="J85" s="19"/>
      <c r="K85" s="4"/>
      <c r="O85" s="12"/>
      <c r="P85"/>
      <c r="Q85"/>
      <c r="R85"/>
    </row>
    <row r="86" spans="2:18" hidden="1" x14ac:dyDescent="0.2">
      <c r="B86" s="5" t="s">
        <v>43</v>
      </c>
      <c r="C86" s="4" t="s">
        <v>132</v>
      </c>
      <c r="D86" s="4"/>
      <c r="E86" s="4"/>
      <c r="F86" s="2" t="s">
        <v>177</v>
      </c>
      <c r="I86" s="18"/>
      <c r="J86" s="19"/>
      <c r="K86" s="4"/>
      <c r="O86" s="12"/>
      <c r="P86"/>
      <c r="Q86"/>
      <c r="R86"/>
    </row>
    <row r="87" spans="2:18" hidden="1" x14ac:dyDescent="0.2">
      <c r="B87" s="5" t="s">
        <v>45</v>
      </c>
      <c r="C87" s="4" t="s">
        <v>140</v>
      </c>
      <c r="D87" s="4"/>
      <c r="E87" s="4"/>
      <c r="F87" s="2" t="s">
        <v>178</v>
      </c>
      <c r="I87" s="18"/>
      <c r="J87" s="19"/>
      <c r="K87" s="4"/>
      <c r="O87"/>
      <c r="P87"/>
      <c r="Q87"/>
      <c r="R87"/>
    </row>
    <row r="88" spans="2:18" hidden="1" x14ac:dyDescent="0.2">
      <c r="B88" s="5" t="s">
        <v>47</v>
      </c>
      <c r="C88" s="4" t="s">
        <v>137</v>
      </c>
      <c r="D88" s="4"/>
      <c r="E88" s="4"/>
      <c r="F88" s="2" t="s">
        <v>24</v>
      </c>
      <c r="I88" s="18"/>
      <c r="J88" s="19"/>
      <c r="K88" s="4"/>
      <c r="O88"/>
      <c r="P88"/>
      <c r="Q88"/>
      <c r="R88"/>
    </row>
    <row r="89" spans="2:18" hidden="1" x14ac:dyDescent="0.2">
      <c r="B89" s="5" t="s">
        <v>20</v>
      </c>
      <c r="C89" s="4" t="s">
        <v>141</v>
      </c>
      <c r="D89" s="4"/>
      <c r="E89" s="4"/>
      <c r="F89" s="2" t="s">
        <v>179</v>
      </c>
      <c r="I89" s="18"/>
      <c r="J89" s="19"/>
      <c r="K89" s="4"/>
      <c r="O89" s="13"/>
      <c r="P89"/>
      <c r="Q89"/>
      <c r="R89"/>
    </row>
    <row r="90" spans="2:18" hidden="1" x14ac:dyDescent="0.2">
      <c r="B90" s="5" t="s">
        <v>49</v>
      </c>
      <c r="C90" s="4" t="s">
        <v>142</v>
      </c>
      <c r="D90" s="4"/>
      <c r="E90" s="4"/>
      <c r="F90" s="2" t="s">
        <v>180</v>
      </c>
      <c r="I90" s="18"/>
      <c r="J90" s="19"/>
      <c r="K90" s="4"/>
      <c r="O90"/>
      <c r="P90"/>
      <c r="Q90"/>
      <c r="R90"/>
    </row>
    <row r="91" spans="2:18" hidden="1" x14ac:dyDescent="0.2">
      <c r="B91" s="5" t="s">
        <v>51</v>
      </c>
      <c r="C91" s="4"/>
      <c r="D91" s="4"/>
      <c r="E91" s="4"/>
      <c r="F91" s="2" t="s">
        <v>89</v>
      </c>
      <c r="I91" s="18"/>
      <c r="J91" s="19"/>
      <c r="K91" s="4"/>
      <c r="O91"/>
      <c r="P91"/>
      <c r="Q91"/>
      <c r="R91"/>
    </row>
    <row r="92" spans="2:18" hidden="1" x14ac:dyDescent="0.2">
      <c r="B92" s="5" t="s">
        <v>52</v>
      </c>
      <c r="C92" s="4"/>
      <c r="D92" s="4"/>
      <c r="E92" s="4"/>
      <c r="F92" s="2" t="s">
        <v>181</v>
      </c>
      <c r="I92" s="18"/>
      <c r="J92" s="19"/>
      <c r="K92" s="4"/>
      <c r="O92"/>
      <c r="P92"/>
      <c r="Q92"/>
      <c r="R92"/>
    </row>
    <row r="93" spans="2:18" hidden="1" x14ac:dyDescent="0.2">
      <c r="B93" s="5" t="s">
        <v>54</v>
      </c>
      <c r="C93" s="4" t="s">
        <v>143</v>
      </c>
      <c r="D93" s="4"/>
      <c r="E93" s="4"/>
      <c r="F93" s="2" t="s">
        <v>182</v>
      </c>
      <c r="I93" s="18"/>
      <c r="J93" s="19"/>
      <c r="K93" s="4"/>
      <c r="O93"/>
      <c r="P93"/>
      <c r="Q93"/>
      <c r="R93"/>
    </row>
    <row r="94" spans="2:18" hidden="1" x14ac:dyDescent="0.2">
      <c r="B94" s="5" t="s">
        <v>57</v>
      </c>
      <c r="C94" s="4">
        <v>6</v>
      </c>
      <c r="D94" s="4"/>
      <c r="E94" s="4"/>
      <c r="F94" s="2" t="s">
        <v>183</v>
      </c>
      <c r="I94" s="18"/>
      <c r="J94" s="19"/>
      <c r="K94" s="4"/>
      <c r="O94"/>
      <c r="P94"/>
      <c r="Q94"/>
      <c r="R94"/>
    </row>
    <row r="95" spans="2:18" hidden="1" x14ac:dyDescent="0.2">
      <c r="B95" s="5" t="s">
        <v>58</v>
      </c>
      <c r="C95" s="4">
        <v>7</v>
      </c>
      <c r="D95" s="4"/>
      <c r="E95" s="4"/>
      <c r="F95" s="2" t="s">
        <v>184</v>
      </c>
      <c r="I95" s="18"/>
      <c r="J95" s="19"/>
      <c r="K95" s="4"/>
    </row>
    <row r="96" spans="2:18" hidden="1" x14ac:dyDescent="0.2">
      <c r="B96" s="5" t="s">
        <v>59</v>
      </c>
      <c r="C96" s="4">
        <v>8</v>
      </c>
      <c r="D96" s="4"/>
      <c r="E96" s="4"/>
      <c r="F96" s="2" t="s">
        <v>185</v>
      </c>
      <c r="I96" s="18"/>
      <c r="J96" s="19"/>
      <c r="K96" s="4"/>
    </row>
    <row r="97" spans="2:11" hidden="1" x14ac:dyDescent="0.2">
      <c r="B97" s="5" t="s">
        <v>61</v>
      </c>
      <c r="C97" s="4">
        <v>9</v>
      </c>
      <c r="D97" s="4"/>
      <c r="E97" s="4"/>
      <c r="F97" s="2" t="s">
        <v>186</v>
      </c>
      <c r="I97" s="18"/>
      <c r="J97" s="19"/>
      <c r="K97" s="4"/>
    </row>
    <row r="98" spans="2:11" hidden="1" x14ac:dyDescent="0.2">
      <c r="B98" s="5" t="s">
        <v>63</v>
      </c>
      <c r="C98" s="4">
        <v>10</v>
      </c>
      <c r="D98" s="4"/>
      <c r="E98" s="4"/>
      <c r="F98" s="2" t="s">
        <v>187</v>
      </c>
      <c r="I98" s="18"/>
      <c r="J98" s="19"/>
      <c r="K98" s="4"/>
    </row>
    <row r="99" spans="2:11" hidden="1" x14ac:dyDescent="0.2">
      <c r="B99" s="5" t="s">
        <v>65</v>
      </c>
      <c r="C99" s="4"/>
      <c r="D99" s="4"/>
      <c r="E99" s="4"/>
      <c r="F99" s="2" t="s">
        <v>188</v>
      </c>
      <c r="I99" s="18"/>
      <c r="J99" s="19"/>
      <c r="K99" s="4"/>
    </row>
    <row r="100" spans="2:11" hidden="1" x14ac:dyDescent="0.2">
      <c r="B100" s="5" t="s">
        <v>66</v>
      </c>
      <c r="C100" s="4"/>
      <c r="D100" s="4"/>
      <c r="E100" s="4"/>
      <c r="F100" s="2" t="s">
        <v>189</v>
      </c>
      <c r="I100" s="18"/>
      <c r="J100" s="19"/>
      <c r="K100" s="4"/>
    </row>
    <row r="101" spans="2:11" hidden="1" x14ac:dyDescent="0.2">
      <c r="B101" s="5" t="s">
        <v>67</v>
      </c>
      <c r="C101" s="4"/>
      <c r="D101" s="4"/>
      <c r="E101" s="4"/>
      <c r="F101" s="2" t="s">
        <v>190</v>
      </c>
      <c r="I101" s="18"/>
      <c r="J101" s="19"/>
      <c r="K101" s="4"/>
    </row>
    <row r="102" spans="2:11" hidden="1" x14ac:dyDescent="0.2">
      <c r="B102" s="5" t="s">
        <v>68</v>
      </c>
      <c r="C102" s="4"/>
      <c r="D102" s="4"/>
      <c r="E102" s="4"/>
      <c r="F102" s="2" t="s">
        <v>192</v>
      </c>
      <c r="I102" s="18"/>
      <c r="J102" s="19"/>
      <c r="K102" s="4"/>
    </row>
    <row r="103" spans="2:11" hidden="1" x14ac:dyDescent="0.2">
      <c r="B103" s="5" t="s">
        <v>70</v>
      </c>
      <c r="C103" s="4"/>
      <c r="D103" s="4"/>
      <c r="E103" s="4"/>
      <c r="F103" s="2" t="s">
        <v>191</v>
      </c>
      <c r="I103" s="18"/>
      <c r="J103" s="19"/>
      <c r="K103" s="4"/>
    </row>
    <row r="104" spans="2:11" hidden="1" x14ac:dyDescent="0.2">
      <c r="B104" s="5" t="s">
        <v>72</v>
      </c>
      <c r="C104" s="4"/>
      <c r="D104" s="4"/>
      <c r="E104" s="4"/>
      <c r="F104" s="2" t="s">
        <v>101</v>
      </c>
      <c r="I104" s="18"/>
      <c r="J104" s="19"/>
      <c r="K104" s="4"/>
    </row>
    <row r="105" spans="2:11" hidden="1" x14ac:dyDescent="0.2">
      <c r="B105" s="5" t="s">
        <v>17</v>
      </c>
      <c r="C105" s="4"/>
      <c r="D105" s="4"/>
      <c r="E105" s="4"/>
      <c r="G105" s="10"/>
      <c r="I105" s="20"/>
      <c r="J105" s="19"/>
      <c r="K105" s="4"/>
    </row>
    <row r="106" spans="2:11" hidden="1" x14ac:dyDescent="0.2">
      <c r="B106" s="5" t="s">
        <v>73</v>
      </c>
      <c r="C106" s="4"/>
      <c r="D106" s="4"/>
      <c r="E106" s="4"/>
      <c r="G106" s="10"/>
      <c r="I106" s="18"/>
      <c r="J106" s="19"/>
      <c r="K106" s="4"/>
    </row>
    <row r="107" spans="2:11" hidden="1" x14ac:dyDescent="0.2">
      <c r="B107" s="5" t="s">
        <v>74</v>
      </c>
      <c r="C107" s="4"/>
      <c r="D107" s="4"/>
      <c r="E107" s="4"/>
      <c r="G107" s="10"/>
      <c r="I107" s="20"/>
      <c r="J107" s="19"/>
      <c r="K107" s="4"/>
    </row>
    <row r="108" spans="2:11" hidden="1" x14ac:dyDescent="0.2">
      <c r="B108" s="5" t="s">
        <v>75</v>
      </c>
      <c r="C108" s="4"/>
      <c r="D108" s="4"/>
      <c r="E108" s="4"/>
      <c r="G108" s="10"/>
      <c r="H108" s="10"/>
      <c r="I108" s="20"/>
      <c r="J108" s="19"/>
      <c r="K108" s="4"/>
    </row>
    <row r="109" spans="2:11" hidden="1" x14ac:dyDescent="0.2">
      <c r="B109" s="5" t="s">
        <v>76</v>
      </c>
      <c r="C109" s="4"/>
      <c r="D109" s="4"/>
      <c r="E109" s="4"/>
      <c r="G109" s="10"/>
      <c r="H109" s="10"/>
      <c r="I109" s="20"/>
      <c r="J109" s="19"/>
      <c r="K109" s="4"/>
    </row>
    <row r="110" spans="2:11" hidden="1" x14ac:dyDescent="0.2">
      <c r="B110" s="11" t="s">
        <v>78</v>
      </c>
      <c r="C110" s="4"/>
      <c r="D110" s="4"/>
      <c r="E110" s="4"/>
      <c r="G110" s="10"/>
      <c r="H110" s="10"/>
      <c r="I110" s="20"/>
      <c r="J110" s="19"/>
      <c r="K110" s="4"/>
    </row>
    <row r="111" spans="2:11" hidden="1" x14ac:dyDescent="0.2">
      <c r="B111" s="11" t="s">
        <v>79</v>
      </c>
      <c r="C111" s="4"/>
      <c r="D111" s="4"/>
      <c r="E111" s="4"/>
      <c r="G111" s="10"/>
      <c r="H111" s="10"/>
      <c r="I111" s="20"/>
      <c r="J111" s="19"/>
      <c r="K111" s="4"/>
    </row>
    <row r="112" spans="2:11" hidden="1" x14ac:dyDescent="0.2">
      <c r="B112" s="11" t="s">
        <v>81</v>
      </c>
      <c r="C112" s="4"/>
      <c r="D112" s="4"/>
      <c r="E112" s="4"/>
      <c r="G112" s="10"/>
      <c r="H112" s="10"/>
      <c r="I112" s="20"/>
      <c r="J112" s="19"/>
      <c r="K112" s="4"/>
    </row>
    <row r="113" spans="2:11" hidden="1" x14ac:dyDescent="0.2">
      <c r="B113" s="11" t="s">
        <v>84</v>
      </c>
      <c r="C113" s="4"/>
      <c r="D113" s="4"/>
      <c r="E113" s="4"/>
      <c r="G113" s="10"/>
      <c r="H113" s="10"/>
      <c r="I113" s="20"/>
      <c r="J113" s="19"/>
      <c r="K113" s="4"/>
    </row>
    <row r="114" spans="2:11" hidden="1" x14ac:dyDescent="0.2">
      <c r="B114" s="11" t="s">
        <v>86</v>
      </c>
      <c r="C114" s="4"/>
      <c r="D114" s="4"/>
      <c r="E114" s="4"/>
      <c r="G114" s="10"/>
      <c r="H114" s="10"/>
      <c r="I114" s="20"/>
      <c r="J114" s="19"/>
      <c r="K114" s="4"/>
    </row>
    <row r="115" spans="2:11" hidden="1" x14ac:dyDescent="0.2">
      <c r="B115" s="11" t="s">
        <v>88</v>
      </c>
      <c r="C115" s="4"/>
      <c r="D115" s="4"/>
      <c r="E115" s="4"/>
      <c r="G115" s="10"/>
      <c r="H115" s="10"/>
      <c r="I115" s="20"/>
      <c r="J115" s="19"/>
      <c r="K115" s="4"/>
    </row>
    <row r="116" spans="2:11" hidden="1" x14ac:dyDescent="0.2">
      <c r="B116" s="11" t="s">
        <v>91</v>
      </c>
      <c r="C116" s="4"/>
      <c r="D116" s="4"/>
      <c r="E116" s="4"/>
      <c r="G116" s="10"/>
      <c r="H116" s="10"/>
      <c r="I116" s="20"/>
      <c r="J116" s="19"/>
      <c r="K116" s="4"/>
    </row>
    <row r="117" spans="2:11" hidden="1" x14ac:dyDescent="0.2">
      <c r="B117" s="11" t="s">
        <v>94</v>
      </c>
      <c r="C117" s="4"/>
      <c r="D117" s="4"/>
      <c r="E117" s="4"/>
      <c r="G117" s="10"/>
      <c r="H117" s="10"/>
      <c r="I117" s="20"/>
      <c r="J117" s="19"/>
      <c r="K117" s="4"/>
    </row>
    <row r="118" spans="2:11" hidden="1" x14ac:dyDescent="0.2">
      <c r="B118" s="5" t="s">
        <v>93</v>
      </c>
      <c r="C118" s="4"/>
      <c r="D118" s="4"/>
      <c r="E118" s="4"/>
      <c r="G118" s="10"/>
      <c r="H118" s="10"/>
      <c r="I118" s="20"/>
      <c r="J118" s="19"/>
      <c r="K118" s="4"/>
    </row>
    <row r="119" spans="2:11" hidden="1" x14ac:dyDescent="0.2">
      <c r="B119" s="11" t="s">
        <v>97</v>
      </c>
      <c r="C119" s="4"/>
      <c r="D119" s="4"/>
      <c r="E119" s="4"/>
      <c r="G119" s="10"/>
      <c r="I119" s="20"/>
      <c r="J119" s="19"/>
      <c r="K119" s="4"/>
    </row>
    <row r="120" spans="2:11" hidden="1" x14ac:dyDescent="0.2">
      <c r="B120" s="11" t="s">
        <v>99</v>
      </c>
      <c r="C120" s="4"/>
      <c r="D120" s="4"/>
      <c r="E120" s="4"/>
      <c r="G120" s="10"/>
      <c r="I120" s="20"/>
      <c r="J120" s="19"/>
      <c r="K120" s="4"/>
    </row>
    <row r="121" spans="2:11" hidden="1" x14ac:dyDescent="0.2">
      <c r="B121" s="11" t="s">
        <v>100</v>
      </c>
      <c r="C121" s="4"/>
      <c r="D121" s="4"/>
      <c r="E121" s="4"/>
      <c r="G121" s="10"/>
      <c r="I121" s="20"/>
      <c r="J121" s="19"/>
      <c r="K121" s="4"/>
    </row>
    <row r="122" spans="2:11" hidden="1" x14ac:dyDescent="0.2">
      <c r="B122" s="11" t="s">
        <v>103</v>
      </c>
      <c r="C122" s="4"/>
      <c r="D122" s="4"/>
      <c r="E122" s="4"/>
      <c r="G122" s="10"/>
      <c r="H122" s="10"/>
      <c r="I122" s="20"/>
      <c r="J122" s="19"/>
      <c r="K122" s="4"/>
    </row>
    <row r="123" spans="2:11" hidden="1" x14ac:dyDescent="0.2">
      <c r="B123" s="11" t="s">
        <v>105</v>
      </c>
      <c r="C123" s="4"/>
      <c r="D123" s="4"/>
      <c r="E123" s="4"/>
      <c r="G123" s="10"/>
      <c r="I123" s="20"/>
      <c r="J123" s="19"/>
      <c r="K123" s="4"/>
    </row>
    <row r="124" spans="2:11" hidden="1" x14ac:dyDescent="0.2">
      <c r="B124" s="11" t="s">
        <v>107</v>
      </c>
      <c r="C124" s="4"/>
      <c r="D124" s="4"/>
      <c r="E124" s="4"/>
      <c r="G124" s="10"/>
      <c r="I124" s="20"/>
      <c r="J124" s="19"/>
      <c r="K124" s="4"/>
    </row>
    <row r="125" spans="2:11" hidden="1" x14ac:dyDescent="0.2">
      <c r="B125" s="11" t="s">
        <v>109</v>
      </c>
      <c r="C125" s="4"/>
      <c r="D125" s="4"/>
      <c r="E125" s="4"/>
      <c r="G125" s="10"/>
      <c r="H125" s="10"/>
      <c r="I125" s="20"/>
      <c r="J125" s="19"/>
      <c r="K125" s="4"/>
    </row>
    <row r="126" spans="2:11" hidden="1" x14ac:dyDescent="0.2">
      <c r="B126" s="11" t="s">
        <v>111</v>
      </c>
      <c r="C126" s="4"/>
      <c r="D126" s="4"/>
      <c r="E126" s="4"/>
      <c r="G126" s="10"/>
      <c r="H126" s="10"/>
      <c r="I126" s="20"/>
      <c r="J126" s="19"/>
      <c r="K126" s="4"/>
    </row>
    <row r="127" spans="2:11" hidden="1" x14ac:dyDescent="0.2">
      <c r="B127" s="11" t="s">
        <v>113</v>
      </c>
      <c r="C127" s="4"/>
      <c r="D127" s="4"/>
      <c r="E127" s="4"/>
      <c r="G127" s="10"/>
      <c r="I127" s="20"/>
      <c r="J127" s="19"/>
      <c r="K127" s="4"/>
    </row>
    <row r="128" spans="2:11" hidden="1" x14ac:dyDescent="0.2">
      <c r="B128" s="11" t="s">
        <v>115</v>
      </c>
      <c r="C128" s="4"/>
      <c r="D128" s="4"/>
      <c r="E128" s="4"/>
      <c r="G128" s="10"/>
      <c r="I128" s="20"/>
      <c r="J128" s="19"/>
      <c r="K128" s="4"/>
    </row>
    <row r="129" spans="2:12" hidden="1" x14ac:dyDescent="0.2">
      <c r="B129" s="11" t="s">
        <v>117</v>
      </c>
      <c r="C129" s="4"/>
      <c r="D129" s="4"/>
      <c r="E129" s="4"/>
      <c r="G129" s="10"/>
      <c r="I129" s="20"/>
      <c r="J129" s="19"/>
      <c r="K129" s="4"/>
    </row>
    <row r="130" spans="2:12" hidden="1" x14ac:dyDescent="0.2">
      <c r="B130" s="11" t="s">
        <v>119</v>
      </c>
      <c r="C130" s="4"/>
      <c r="D130" s="4"/>
      <c r="E130" s="4"/>
      <c r="G130" s="10"/>
      <c r="H130" s="10"/>
      <c r="I130" s="20"/>
      <c r="J130" s="19"/>
      <c r="K130" s="4"/>
    </row>
    <row r="131" spans="2:12" hidden="1" x14ac:dyDescent="0.2">
      <c r="B131" s="11" t="s">
        <v>120</v>
      </c>
      <c r="C131" s="4"/>
      <c r="D131" s="4"/>
      <c r="E131" s="4"/>
      <c r="G131" s="10"/>
      <c r="I131" s="20"/>
      <c r="J131" s="19"/>
      <c r="K131" s="4"/>
    </row>
    <row r="132" spans="2:12" hidden="1" x14ac:dyDescent="0.2">
      <c r="B132" s="11" t="s">
        <v>121</v>
      </c>
      <c r="C132" s="4"/>
      <c r="D132" s="4"/>
      <c r="E132" s="4"/>
      <c r="G132" s="10"/>
      <c r="I132" s="20"/>
      <c r="J132" s="19"/>
      <c r="K132" s="4"/>
    </row>
    <row r="133" spans="2:12" hidden="1" x14ac:dyDescent="0.2">
      <c r="B133" s="11" t="s">
        <v>122</v>
      </c>
      <c r="C133" s="4"/>
      <c r="D133" s="4"/>
      <c r="E133" s="4"/>
      <c r="G133" s="10"/>
      <c r="I133" s="20"/>
      <c r="J133" s="19"/>
      <c r="K133" s="4"/>
    </row>
    <row r="134" spans="2:12" hidden="1" x14ac:dyDescent="0.2">
      <c r="B134" s="11" t="s">
        <v>124</v>
      </c>
      <c r="C134" s="4"/>
      <c r="D134" s="4"/>
      <c r="E134" s="4"/>
      <c r="G134" s="10"/>
      <c r="I134" s="20"/>
      <c r="J134" s="19"/>
      <c r="K134" s="4"/>
    </row>
    <row r="135" spans="2:12" hidden="1" x14ac:dyDescent="0.2">
      <c r="B135" s="11" t="s">
        <v>125</v>
      </c>
      <c r="C135" s="4"/>
      <c r="D135" s="4"/>
      <c r="E135" s="4"/>
      <c r="G135" s="10"/>
      <c r="I135" s="20"/>
      <c r="J135" s="19"/>
      <c r="K135" s="4"/>
    </row>
    <row r="136" spans="2:12" hidden="1" x14ac:dyDescent="0.2">
      <c r="B136" s="11" t="s">
        <v>126</v>
      </c>
      <c r="C136" s="4"/>
      <c r="D136" s="4"/>
      <c r="E136" s="4"/>
      <c r="G136" s="10"/>
      <c r="I136" s="20"/>
      <c r="J136" s="19"/>
      <c r="K136" s="4"/>
    </row>
    <row r="137" spans="2:12" hidden="1" x14ac:dyDescent="0.2">
      <c r="B137" s="11" t="s">
        <v>127</v>
      </c>
      <c r="C137" s="14"/>
      <c r="D137" s="14"/>
      <c r="E137" s="14"/>
      <c r="F137" s="10"/>
      <c r="G137" s="10"/>
      <c r="H137" s="10"/>
      <c r="I137" s="20"/>
      <c r="J137" s="21"/>
      <c r="K137" s="14"/>
      <c r="L137" s="10"/>
    </row>
    <row r="138" spans="2:12" hidden="1" x14ac:dyDescent="0.2">
      <c r="B138" s="11" t="s">
        <v>128</v>
      </c>
    </row>
    <row r="139" spans="2:12" hidden="1" x14ac:dyDescent="0.2">
      <c r="B139" s="11" t="s">
        <v>129</v>
      </c>
    </row>
    <row r="140" spans="2:12" hidden="1" x14ac:dyDescent="0.2">
      <c r="B140" s="11" t="s">
        <v>130</v>
      </c>
    </row>
  </sheetData>
  <phoneticPr fontId="1" type="noConversion"/>
  <dataValidations count="4">
    <dataValidation type="list" allowBlank="1" showInputMessage="1" showErrorMessage="1" sqref="B3:B31">
      <formula1>$B$75:$B$140</formula1>
    </dataValidation>
    <dataValidation type="list" allowBlank="1" showInputMessage="1" showErrorMessage="1" sqref="O3:O31">
      <formula1>$C$77:$C$81</formula1>
    </dataValidation>
    <dataValidation type="list" allowBlank="1" showInputMessage="1" showErrorMessage="1" sqref="S3:S31">
      <formula1>$C$87:$C$90</formula1>
    </dataValidation>
    <dataValidation type="list" allowBlank="1" showInputMessage="1" showErrorMessage="1" sqref="W3:AI31">
      <formula1>$F$77:$F$104</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Game Aid</vt:lpstr>
      <vt:lpstr>Army 1 TL0-5</vt:lpstr>
      <vt:lpstr>Army 2 TL0-5</vt:lpstr>
      <vt:lpstr>TL0-5 Battle</vt:lpstr>
      <vt:lpstr>Army 1 TL6-12</vt:lpstr>
      <vt:lpstr>Army 2 TL6-12</vt:lpstr>
      <vt:lpstr>TL6-12 Battle</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Grant</dc:creator>
  <cp:lastModifiedBy>stefan</cp:lastModifiedBy>
  <dcterms:created xsi:type="dcterms:W3CDTF">2011-07-07T10:11:25Z</dcterms:created>
  <dcterms:modified xsi:type="dcterms:W3CDTF">2013-11-01T14:08:15Z</dcterms:modified>
</cp:coreProperties>
</file>